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UL KAMBLE\Desktop\"/>
    </mc:Choice>
  </mc:AlternateContent>
  <bookViews>
    <workbookView xWindow="0" yWindow="0" windowWidth="20490" windowHeight="7755"/>
  </bookViews>
  <sheets>
    <sheet name="Model" sheetId="1" r:id="rId1"/>
    <sheet name="Cost Structure" sheetId="3" r:id="rId2"/>
    <sheet name="Cost Data" sheetId="5" r:id="rId3"/>
    <sheet name="Distance and freight rates" sheetId="2" r:id="rId4"/>
    <sheet name="Data Description" sheetId="4" r:id="rId5"/>
  </sheets>
  <definedNames>
    <definedName name="solver_adj" localSheetId="0" hidden="1">Model!$C$35:$I$37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Model!$C$38:$I$38</definedName>
    <definedName name="solver_lhs2" localSheetId="0" hidden="1">Model!$C$38:$I$38</definedName>
    <definedName name="solver_lhs3" localSheetId="0" hidden="1">Model!$J$35:$J$37</definedName>
    <definedName name="solver_lhs4" localSheetId="0" hidden="1">Model!$C$30:$I$30</definedName>
    <definedName name="solver_lhs5" localSheetId="0" hidden="1">Model!$C$56:$I$56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Model!$M$43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hs1" localSheetId="0" hidden="1">Model!$C$40:$I$40</definedName>
    <definedName name="solver_rhs2" localSheetId="0" hidden="1">Model!$C$42:$I$42</definedName>
    <definedName name="solver_rhs3" localSheetId="0" hidden="1">Model!$L$35:$L$37</definedName>
    <definedName name="solver_rhs4" localSheetId="0" hidden="1">Model!$C$31:$I$31</definedName>
    <definedName name="solver_rhs5" localSheetId="0" hidden="1">Model!$C$58:$I$58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N37" i="1"/>
  <c r="N43" i="1"/>
  <c r="C22" i="1"/>
  <c r="C23" i="1"/>
  <c r="C48" i="1"/>
  <c r="C25" i="1"/>
  <c r="C26" i="1"/>
  <c r="C49" i="1"/>
  <c r="C54" i="1"/>
  <c r="D22" i="1"/>
  <c r="D23" i="1"/>
  <c r="D48" i="1"/>
  <c r="D25" i="1"/>
  <c r="D26" i="1"/>
  <c r="D49" i="1"/>
  <c r="D54" i="1"/>
  <c r="E22" i="1"/>
  <c r="E23" i="1"/>
  <c r="E48" i="1"/>
  <c r="E25" i="1"/>
  <c r="E26" i="1"/>
  <c r="E49" i="1"/>
  <c r="E54" i="1"/>
  <c r="F22" i="1"/>
  <c r="F23" i="1"/>
  <c r="F48" i="1"/>
  <c r="F25" i="1"/>
  <c r="F26" i="1"/>
  <c r="F49" i="1"/>
  <c r="F54" i="1"/>
  <c r="G22" i="1"/>
  <c r="G23" i="1"/>
  <c r="G48" i="1"/>
  <c r="G25" i="1"/>
  <c r="G26" i="1"/>
  <c r="G49" i="1"/>
  <c r="G54" i="1"/>
  <c r="H22" i="1"/>
  <c r="H23" i="1"/>
  <c r="H48" i="1"/>
  <c r="H25" i="1"/>
  <c r="H26" i="1"/>
  <c r="H49" i="1"/>
  <c r="H54" i="1"/>
  <c r="I22" i="1"/>
  <c r="I23" i="1"/>
  <c r="I48" i="1"/>
  <c r="I25" i="1"/>
  <c r="I26" i="1"/>
  <c r="I49" i="1"/>
  <c r="I54" i="1"/>
  <c r="N54" i="1"/>
  <c r="G5" i="1"/>
  <c r="M35" i="1"/>
  <c r="N35" i="1"/>
  <c r="M36" i="1"/>
  <c r="M37" i="1"/>
  <c r="C19" i="1"/>
  <c r="C20" i="1"/>
  <c r="C47" i="1"/>
  <c r="D19" i="1"/>
  <c r="D20" i="1"/>
  <c r="D47" i="1"/>
  <c r="E19" i="1"/>
  <c r="E20" i="1"/>
  <c r="E47" i="1"/>
  <c r="F19" i="1"/>
  <c r="F20" i="1"/>
  <c r="F47" i="1"/>
  <c r="G19" i="1"/>
  <c r="G20" i="1"/>
  <c r="G47" i="1"/>
  <c r="H19" i="1"/>
  <c r="H20" i="1"/>
  <c r="H47" i="1"/>
  <c r="I19" i="1"/>
  <c r="I20" i="1"/>
  <c r="I47" i="1"/>
  <c r="L38" i="5"/>
  <c r="M38" i="5"/>
  <c r="N38" i="5"/>
  <c r="O38" i="5"/>
  <c r="P38" i="5"/>
  <c r="Q38" i="5"/>
  <c r="R38" i="5"/>
  <c r="L39" i="5"/>
  <c r="M39" i="5"/>
  <c r="N39" i="5"/>
  <c r="O39" i="5"/>
  <c r="P39" i="5"/>
  <c r="Q39" i="5"/>
  <c r="R39" i="5"/>
  <c r="L40" i="5"/>
  <c r="M40" i="5"/>
  <c r="N40" i="5"/>
  <c r="O40" i="5"/>
  <c r="P40" i="5"/>
  <c r="Q40" i="5"/>
  <c r="R40" i="5"/>
  <c r="L41" i="5"/>
  <c r="M41" i="5"/>
  <c r="N41" i="5"/>
  <c r="O41" i="5"/>
  <c r="P41" i="5"/>
  <c r="Q41" i="5"/>
  <c r="R41" i="5"/>
  <c r="L42" i="5"/>
  <c r="M42" i="5"/>
  <c r="N42" i="5"/>
  <c r="O42" i="5"/>
  <c r="P42" i="5"/>
  <c r="Q42" i="5"/>
  <c r="R42" i="5"/>
  <c r="L43" i="5"/>
  <c r="M43" i="5"/>
  <c r="N43" i="5"/>
  <c r="O43" i="5"/>
  <c r="P43" i="5"/>
  <c r="Q43" i="5"/>
  <c r="R43" i="5"/>
  <c r="L44" i="5"/>
  <c r="M44" i="5"/>
  <c r="N44" i="5"/>
  <c r="O44" i="5"/>
  <c r="P44" i="5"/>
  <c r="Q44" i="5"/>
  <c r="R44" i="5"/>
  <c r="L45" i="5"/>
  <c r="M45" i="5"/>
  <c r="N45" i="5"/>
  <c r="O45" i="5"/>
  <c r="P45" i="5"/>
  <c r="Q45" i="5"/>
  <c r="R45" i="5"/>
  <c r="L46" i="5"/>
  <c r="M46" i="5"/>
  <c r="N46" i="5"/>
  <c r="O46" i="5"/>
  <c r="P46" i="5"/>
  <c r="Q46" i="5"/>
  <c r="R46" i="5"/>
  <c r="L47" i="5"/>
  <c r="M47" i="5"/>
  <c r="N47" i="5"/>
  <c r="O47" i="5"/>
  <c r="P47" i="5"/>
  <c r="Q47" i="5"/>
  <c r="R47" i="5"/>
  <c r="L48" i="5"/>
  <c r="M48" i="5"/>
  <c r="N48" i="5"/>
  <c r="O48" i="5"/>
  <c r="P48" i="5"/>
  <c r="Q48" i="5"/>
  <c r="R48" i="5"/>
  <c r="L49" i="5"/>
  <c r="M49" i="5"/>
  <c r="N49" i="5"/>
  <c r="O49" i="5"/>
  <c r="P49" i="5"/>
  <c r="Q49" i="5"/>
  <c r="R49" i="5"/>
  <c r="L50" i="5"/>
  <c r="M50" i="5"/>
  <c r="N50" i="5"/>
  <c r="O50" i="5"/>
  <c r="P50" i="5"/>
  <c r="Q50" i="5"/>
  <c r="R50" i="5"/>
  <c r="L51" i="5"/>
  <c r="M51" i="5"/>
  <c r="N51" i="5"/>
  <c r="O51" i="5"/>
  <c r="P51" i="5"/>
  <c r="Q51" i="5"/>
  <c r="R51" i="5"/>
  <c r="L52" i="5"/>
  <c r="M52" i="5"/>
  <c r="N52" i="5"/>
  <c r="O52" i="5"/>
  <c r="P52" i="5"/>
  <c r="Q52" i="5"/>
  <c r="R52" i="5"/>
  <c r="M21" i="5"/>
  <c r="N21" i="5"/>
  <c r="O21" i="5"/>
  <c r="P21" i="5"/>
  <c r="Q21" i="5"/>
  <c r="R21" i="5"/>
  <c r="M22" i="5"/>
  <c r="N22" i="5"/>
  <c r="O22" i="5"/>
  <c r="P22" i="5"/>
  <c r="Q22" i="5"/>
  <c r="R22" i="5"/>
  <c r="M23" i="5"/>
  <c r="N23" i="5"/>
  <c r="O23" i="5"/>
  <c r="P23" i="5"/>
  <c r="Q23" i="5"/>
  <c r="R23" i="5"/>
  <c r="M24" i="5"/>
  <c r="N24" i="5"/>
  <c r="O24" i="5"/>
  <c r="P24" i="5"/>
  <c r="Q24" i="5"/>
  <c r="R24" i="5"/>
  <c r="M25" i="5"/>
  <c r="N25" i="5"/>
  <c r="O25" i="5"/>
  <c r="P25" i="5"/>
  <c r="Q25" i="5"/>
  <c r="R25" i="5"/>
  <c r="M26" i="5"/>
  <c r="N26" i="5"/>
  <c r="O26" i="5"/>
  <c r="P26" i="5"/>
  <c r="Q26" i="5"/>
  <c r="R26" i="5"/>
  <c r="M27" i="5"/>
  <c r="N27" i="5"/>
  <c r="O27" i="5"/>
  <c r="P27" i="5"/>
  <c r="Q27" i="5"/>
  <c r="R27" i="5"/>
  <c r="M28" i="5"/>
  <c r="N28" i="5"/>
  <c r="O28" i="5"/>
  <c r="P28" i="5"/>
  <c r="Q28" i="5"/>
  <c r="R28" i="5"/>
  <c r="M29" i="5"/>
  <c r="N29" i="5"/>
  <c r="O29" i="5"/>
  <c r="P29" i="5"/>
  <c r="Q29" i="5"/>
  <c r="R29" i="5"/>
  <c r="M30" i="5"/>
  <c r="N30" i="5"/>
  <c r="O30" i="5"/>
  <c r="P30" i="5"/>
  <c r="Q30" i="5"/>
  <c r="R30" i="5"/>
  <c r="M31" i="5"/>
  <c r="N31" i="5"/>
  <c r="O31" i="5"/>
  <c r="P31" i="5"/>
  <c r="Q31" i="5"/>
  <c r="R31" i="5"/>
  <c r="M32" i="5"/>
  <c r="N32" i="5"/>
  <c r="O32" i="5"/>
  <c r="P32" i="5"/>
  <c r="Q32" i="5"/>
  <c r="R32" i="5"/>
  <c r="M33" i="5"/>
  <c r="N33" i="5"/>
  <c r="O33" i="5"/>
  <c r="P33" i="5"/>
  <c r="Q33" i="5"/>
  <c r="R33" i="5"/>
  <c r="M34" i="5"/>
  <c r="N34" i="5"/>
  <c r="O34" i="5"/>
  <c r="P34" i="5"/>
  <c r="Q34" i="5"/>
  <c r="R34" i="5"/>
  <c r="M35" i="5"/>
  <c r="N35" i="5"/>
  <c r="O35" i="5"/>
  <c r="P35" i="5"/>
  <c r="Q35" i="5"/>
  <c r="R35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21" i="5"/>
  <c r="M4" i="5"/>
  <c r="N4" i="5"/>
  <c r="O4" i="5"/>
  <c r="P4" i="5"/>
  <c r="Q4" i="5"/>
  <c r="R4" i="5"/>
  <c r="M5" i="5"/>
  <c r="N5" i="5"/>
  <c r="O5" i="5"/>
  <c r="P5" i="5"/>
  <c r="Q5" i="5"/>
  <c r="R5" i="5"/>
  <c r="M6" i="5"/>
  <c r="N6" i="5"/>
  <c r="O6" i="5"/>
  <c r="P6" i="5"/>
  <c r="Q6" i="5"/>
  <c r="R6" i="5"/>
  <c r="M7" i="5"/>
  <c r="N7" i="5"/>
  <c r="O7" i="5"/>
  <c r="P7" i="5"/>
  <c r="Q7" i="5"/>
  <c r="R7" i="5"/>
  <c r="M8" i="5"/>
  <c r="N8" i="5"/>
  <c r="O8" i="5"/>
  <c r="P8" i="5"/>
  <c r="Q8" i="5"/>
  <c r="R8" i="5"/>
  <c r="M9" i="5"/>
  <c r="N9" i="5"/>
  <c r="O9" i="5"/>
  <c r="P9" i="5"/>
  <c r="Q9" i="5"/>
  <c r="R9" i="5"/>
  <c r="M10" i="5"/>
  <c r="N10" i="5"/>
  <c r="O10" i="5"/>
  <c r="P10" i="5"/>
  <c r="Q10" i="5"/>
  <c r="R10" i="5"/>
  <c r="M11" i="5"/>
  <c r="N11" i="5"/>
  <c r="O11" i="5"/>
  <c r="P11" i="5"/>
  <c r="Q11" i="5"/>
  <c r="R11" i="5"/>
  <c r="M12" i="5"/>
  <c r="N12" i="5"/>
  <c r="O12" i="5"/>
  <c r="P12" i="5"/>
  <c r="Q12" i="5"/>
  <c r="R12" i="5"/>
  <c r="M13" i="5"/>
  <c r="N13" i="5"/>
  <c r="O13" i="5"/>
  <c r="P13" i="5"/>
  <c r="Q13" i="5"/>
  <c r="R13" i="5"/>
  <c r="M14" i="5"/>
  <c r="N14" i="5"/>
  <c r="O14" i="5"/>
  <c r="P14" i="5"/>
  <c r="Q14" i="5"/>
  <c r="R14" i="5"/>
  <c r="M15" i="5"/>
  <c r="N15" i="5"/>
  <c r="O15" i="5"/>
  <c r="P15" i="5"/>
  <c r="Q15" i="5"/>
  <c r="R15" i="5"/>
  <c r="M16" i="5"/>
  <c r="N16" i="5"/>
  <c r="O16" i="5"/>
  <c r="P16" i="5"/>
  <c r="Q16" i="5"/>
  <c r="R16" i="5"/>
  <c r="M17" i="5"/>
  <c r="N17" i="5"/>
  <c r="O17" i="5"/>
  <c r="P17" i="5"/>
  <c r="Q17" i="5"/>
  <c r="R17" i="5"/>
  <c r="M18" i="5"/>
  <c r="N18" i="5"/>
  <c r="O18" i="5"/>
  <c r="P18" i="5"/>
  <c r="Q18" i="5"/>
  <c r="R18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4" i="5"/>
  <c r="M43" i="1"/>
  <c r="M23" i="2"/>
  <c r="N23" i="2"/>
  <c r="O23" i="2"/>
  <c r="P23" i="2"/>
  <c r="Q23" i="2"/>
  <c r="R23" i="2"/>
  <c r="M24" i="2"/>
  <c r="N24" i="2"/>
  <c r="O24" i="2"/>
  <c r="P24" i="2"/>
  <c r="Q24" i="2"/>
  <c r="R24" i="2"/>
  <c r="M25" i="2"/>
  <c r="N25" i="2"/>
  <c r="O25" i="2"/>
  <c r="P25" i="2"/>
  <c r="Q25" i="2"/>
  <c r="R25" i="2"/>
  <c r="L24" i="2"/>
  <c r="L25" i="2"/>
  <c r="L23" i="2"/>
  <c r="I42" i="1"/>
  <c r="H42" i="1"/>
  <c r="G42" i="1"/>
  <c r="F42" i="1"/>
  <c r="E42" i="1"/>
  <c r="D42" i="1"/>
  <c r="C42" i="1"/>
  <c r="D50" i="1"/>
  <c r="E50" i="1"/>
  <c r="F50" i="1"/>
  <c r="G50" i="1"/>
  <c r="H50" i="1"/>
  <c r="C50" i="1"/>
  <c r="R13" i="2"/>
  <c r="R17" i="2"/>
  <c r="R21" i="2"/>
  <c r="Q13" i="2"/>
  <c r="Q17" i="2"/>
  <c r="Q21" i="2"/>
  <c r="P13" i="2"/>
  <c r="P17" i="2"/>
  <c r="P21" i="2"/>
  <c r="O13" i="2"/>
  <c r="O17" i="2"/>
  <c r="O21" i="2"/>
  <c r="N13" i="2"/>
  <c r="N17" i="2"/>
  <c r="N21" i="2"/>
  <c r="M13" i="2"/>
  <c r="M17" i="2"/>
  <c r="M21" i="2"/>
  <c r="L13" i="2"/>
  <c r="L17" i="2"/>
  <c r="L21" i="2"/>
  <c r="R12" i="2"/>
  <c r="R16" i="2"/>
  <c r="R20" i="2"/>
  <c r="Q12" i="2"/>
  <c r="Q16" i="2"/>
  <c r="Q20" i="2"/>
  <c r="P12" i="2"/>
  <c r="P16" i="2"/>
  <c r="P20" i="2"/>
  <c r="O12" i="2"/>
  <c r="O16" i="2"/>
  <c r="O20" i="2"/>
  <c r="N12" i="2"/>
  <c r="N16" i="2"/>
  <c r="N20" i="2"/>
  <c r="M12" i="2"/>
  <c r="M16" i="2"/>
  <c r="M20" i="2"/>
  <c r="L12" i="2"/>
  <c r="L16" i="2"/>
  <c r="L20" i="2"/>
  <c r="R11" i="2"/>
  <c r="R15" i="2"/>
  <c r="R19" i="2"/>
  <c r="Q11" i="2"/>
  <c r="Q15" i="2"/>
  <c r="Q19" i="2"/>
  <c r="P11" i="2"/>
  <c r="P15" i="2"/>
  <c r="P19" i="2"/>
  <c r="O11" i="2"/>
  <c r="O15" i="2"/>
  <c r="O19" i="2"/>
  <c r="N11" i="2"/>
  <c r="N15" i="2"/>
  <c r="N19" i="2"/>
  <c r="M11" i="2"/>
  <c r="M15" i="2"/>
  <c r="M19" i="2"/>
  <c r="L11" i="2"/>
  <c r="L15" i="2"/>
  <c r="L19" i="2"/>
  <c r="R9" i="2"/>
  <c r="Q9" i="2"/>
  <c r="P9" i="2"/>
  <c r="O9" i="2"/>
  <c r="N9" i="2"/>
  <c r="M9" i="2"/>
  <c r="L9" i="2"/>
  <c r="R8" i="2"/>
  <c r="Q8" i="2"/>
  <c r="P8" i="2"/>
  <c r="O8" i="2"/>
  <c r="N8" i="2"/>
  <c r="M8" i="2"/>
  <c r="L8" i="2"/>
  <c r="R7" i="2"/>
  <c r="Q7" i="2"/>
  <c r="P7" i="2"/>
  <c r="O7" i="2"/>
  <c r="N7" i="2"/>
  <c r="M7" i="2"/>
  <c r="L7" i="2"/>
  <c r="I58" i="1"/>
  <c r="H58" i="1"/>
  <c r="G58" i="1"/>
  <c r="F58" i="1"/>
  <c r="E58" i="1"/>
  <c r="D58" i="1"/>
  <c r="C58" i="1"/>
  <c r="H56" i="1"/>
  <c r="G56" i="1"/>
  <c r="F56" i="1"/>
  <c r="E56" i="1"/>
  <c r="D56" i="1"/>
  <c r="C56" i="1"/>
  <c r="H53" i="1"/>
  <c r="G53" i="1"/>
  <c r="F53" i="1"/>
  <c r="E53" i="1"/>
  <c r="D53" i="1"/>
  <c r="C53" i="1"/>
  <c r="I38" i="1"/>
  <c r="H38" i="1"/>
  <c r="G38" i="1"/>
  <c r="F38" i="1"/>
  <c r="E38" i="1"/>
  <c r="D38" i="1"/>
  <c r="C38" i="1"/>
  <c r="J37" i="1"/>
  <c r="J36" i="1"/>
  <c r="J35" i="1"/>
  <c r="I30" i="1"/>
  <c r="H30" i="1"/>
  <c r="G30" i="1"/>
  <c r="F30" i="1"/>
  <c r="E30" i="1"/>
  <c r="D30" i="1"/>
  <c r="C30" i="1"/>
  <c r="I50" i="1"/>
  <c r="I53" i="1"/>
  <c r="I56" i="1"/>
</calcChain>
</file>

<file path=xl/sharedStrings.xml><?xml version="1.0" encoding="utf-8"?>
<sst xmlns="http://schemas.openxmlformats.org/spreadsheetml/2006/main" count="296" uniqueCount="84">
  <si>
    <t>PRODUCTION FIELD TO REFINERY</t>
  </si>
  <si>
    <t>Koyali</t>
  </si>
  <si>
    <t>Mumbai HPCL</t>
  </si>
  <si>
    <t>Bhatinda</t>
  </si>
  <si>
    <t>Mumbai BPCL</t>
  </si>
  <si>
    <t>Jamnagar</t>
  </si>
  <si>
    <t>Jamnagar SEZ</t>
  </si>
  <si>
    <t>Vadinar</t>
  </si>
  <si>
    <t>DISTANCE (mile)</t>
  </si>
  <si>
    <t>Gujarat</t>
  </si>
  <si>
    <t>Rajasthan</t>
  </si>
  <si>
    <t>Cambay Basin</t>
  </si>
  <si>
    <t>COST PER MILE ($/mile)</t>
  </si>
  <si>
    <t>Fixed Cost</t>
  </si>
  <si>
    <t>Variable Cost</t>
  </si>
  <si>
    <t>Selection</t>
  </si>
  <si>
    <t>DEMAND</t>
  </si>
  <si>
    <t>&lt;=</t>
  </si>
  <si>
    <t>SELECTION</t>
  </si>
  <si>
    <t xml:space="preserve"> Koyali</t>
  </si>
  <si>
    <t>Mumabi HPCL</t>
  </si>
  <si>
    <t>FLOW OUT</t>
  </si>
  <si>
    <t>FLOW IN</t>
  </si>
  <si>
    <t>CAPACITY</t>
  </si>
  <si>
    <t>&gt;=</t>
  </si>
  <si>
    <t>FLOW ACCORDING TO SCENARIO</t>
  </si>
  <si>
    <t>CAPACITY AND COST</t>
  </si>
  <si>
    <t>FLOW</t>
  </si>
  <si>
    <t>COST</t>
  </si>
  <si>
    <t>Distance</t>
  </si>
  <si>
    <t>Cost per Km/ton</t>
  </si>
  <si>
    <t xml:space="preserve">From Production/to refinery </t>
  </si>
  <si>
    <t>(oil and gas)</t>
  </si>
  <si>
    <t>CB/OS-2</t>
  </si>
  <si>
    <t>Mumbai</t>
  </si>
  <si>
    <t xml:space="preserve">DISTANCE AND FREIGHT CHARGES </t>
  </si>
  <si>
    <t>Kilometers</t>
  </si>
  <si>
    <t>Railway Freight Rate (Rs/Km-Ton)</t>
  </si>
  <si>
    <t>Pipeline Freight Rate (Rs/Mile - ton)</t>
  </si>
  <si>
    <r>
      <t>Pipeline Freight Rate (</t>
    </r>
    <r>
      <rPr>
        <b/>
        <u/>
        <sz val="10"/>
        <color theme="1"/>
        <rFont val="Calibri"/>
        <family val="2"/>
        <scheme val="minor"/>
      </rPr>
      <t>$</t>
    </r>
    <r>
      <rPr>
        <b/>
        <sz val="10"/>
        <color theme="1"/>
        <rFont val="Calibri"/>
        <family val="2"/>
        <scheme val="minor"/>
      </rPr>
      <t>/ Km-ton)</t>
    </r>
  </si>
  <si>
    <t>Pipeline Freight Rate ($/ Mile-ton)</t>
  </si>
  <si>
    <t>Miles</t>
  </si>
  <si>
    <t>GUJARAT</t>
  </si>
  <si>
    <t>RAJASTHAN</t>
  </si>
  <si>
    <t>CAMBAY BASIIN</t>
  </si>
  <si>
    <t>Total Cost</t>
  </si>
  <si>
    <t>&lt;50%</t>
  </si>
  <si>
    <t>&gt;50%</t>
  </si>
  <si>
    <t xml:space="preserve">Pipe Outside diameter inches </t>
  </si>
  <si>
    <t>Flow in pipe</t>
  </si>
  <si>
    <t>Fixed Cost = Material cost + cost of construction of pipe</t>
  </si>
  <si>
    <t>Variable cost = Engineering cost + Labor cost + Freight Cost</t>
  </si>
  <si>
    <t>SCENARIO (1-6)</t>
  </si>
  <si>
    <t>SCENARIO</t>
  </si>
  <si>
    <t xml:space="preserve">LEVEL </t>
  </si>
  <si>
    <t>SCENARIO DESCRIPTION</t>
  </si>
  <si>
    <t>Production Sites</t>
  </si>
  <si>
    <t>Refineries</t>
  </si>
  <si>
    <t xml:space="preserve">Vadinar </t>
  </si>
  <si>
    <t>Oil Production</t>
  </si>
  <si>
    <t>Transportation</t>
  </si>
  <si>
    <t>Scenario</t>
  </si>
  <si>
    <t>DIAMETER</t>
  </si>
  <si>
    <t xml:space="preserve"> </t>
  </si>
  <si>
    <t>8.625 "</t>
  </si>
  <si>
    <t>10.5 "</t>
  </si>
  <si>
    <t>12.33 "</t>
  </si>
  <si>
    <t xml:space="preserve">Pipe outside dia 8.625 " and flow more than 50% of the total oil transported will move through pipeline </t>
  </si>
  <si>
    <t xml:space="preserve">Pipe outside dia 8.625 " and flow less than 50% of the total oil transported will move through pipeline </t>
  </si>
  <si>
    <t xml:space="preserve">Pipe outside dia 10.5 " and flow less than 50% of the total oil transported will move through pipeline </t>
  </si>
  <si>
    <t xml:space="preserve">Pipe outside dia 10.5 " and flow more than 50% of the total oil transported will move through pipeline </t>
  </si>
  <si>
    <t xml:space="preserve">Pipe outside dia 12.33 " and flow less than 50% of the total oil transported will move through pipeline </t>
  </si>
  <si>
    <t xml:space="preserve">Pipe outside dia 12.33 " and flow more than 50% of the total oil transported will move through pipeline </t>
  </si>
  <si>
    <t>Diameter</t>
  </si>
  <si>
    <t>Flow less than 50%</t>
  </si>
  <si>
    <t>Flow more than 50%</t>
  </si>
  <si>
    <t>REFINERY OPTIONS ($/Barrel/Mile)</t>
  </si>
  <si>
    <t>FLOWS (Barrels of oil per year)</t>
  </si>
  <si>
    <t>Cost as per Scenario (US $ Dollar)</t>
  </si>
  <si>
    <t>Transportation cost (US $ Dollar)</t>
  </si>
  <si>
    <t>Cost in $  per metrage</t>
  </si>
  <si>
    <t>Cost in $ per mile</t>
  </si>
  <si>
    <t>Note: All cost are in $/barrel/mile</t>
  </si>
  <si>
    <t>Pipeline Freight Rate ($/ Mile/barrel)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</si>
</sst>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2" fillId="0" borderId="5" xfId="0" applyFont="1" applyBorder="1"/>
    <xf numFmtId="0" fontId="0" fillId="8" borderId="0" xfId="0" applyFill="1" applyAlignment="1"/>
    <xf numFmtId="0" fontId="0" fillId="8" borderId="0" xfId="0" applyFill="1"/>
    <xf numFmtId="0" fontId="5" fillId="0" borderId="0" xfId="0" applyFont="1" applyAlignment="1"/>
    <xf numFmtId="0" fontId="6" fillId="0" borderId="0" xfId="0" applyFont="1"/>
    <xf numFmtId="0" fontId="5" fillId="0" borderId="0" xfId="0" applyFont="1" applyFill="1" applyBorder="1" applyAlignment="1"/>
    <xf numFmtId="0" fontId="0" fillId="0" borderId="3" xfId="0" applyBorder="1"/>
    <xf numFmtId="0" fontId="7" fillId="0" borderId="1" xfId="0" applyFont="1" applyBorder="1" applyAlignment="1">
      <alignment wrapText="1"/>
    </xf>
    <xf numFmtId="0" fontId="0" fillId="0" borderId="8" xfId="0" applyBorder="1"/>
    <xf numFmtId="0" fontId="3" fillId="0" borderId="5" xfId="0" applyFont="1" applyBorder="1"/>
    <xf numFmtId="0" fontId="0" fillId="0" borderId="0" xfId="0" applyBorder="1"/>
    <xf numFmtId="0" fontId="8" fillId="0" borderId="0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0" xfId="0" applyFont="1" applyFill="1" applyBorder="1"/>
    <xf numFmtId="0" fontId="9" fillId="0" borderId="8" xfId="0" applyFont="1" applyBorder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0" fillId="0" borderId="10" xfId="0" applyFont="1" applyBorder="1"/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0" fillId="0" borderId="0" xfId="0" applyFont="1" applyFill="1" applyBorder="1"/>
    <xf numFmtId="164" fontId="10" fillId="0" borderId="8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0" fontId="2" fillId="0" borderId="6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0" fillId="0" borderId="11" xfId="0" applyFont="1" applyFill="1" applyBorder="1"/>
    <xf numFmtId="164" fontId="10" fillId="0" borderId="13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5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11" xfId="0" applyBorder="1"/>
    <xf numFmtId="0" fontId="2" fillId="0" borderId="0" xfId="0" applyFont="1" applyBorder="1" applyAlignment="1">
      <alignment horizontal="center"/>
    </xf>
    <xf numFmtId="0" fontId="10" fillId="0" borderId="7" xfId="0" applyFont="1" applyBorder="1"/>
    <xf numFmtId="0" fontId="2" fillId="0" borderId="0" xfId="0" applyFont="1" applyFill="1" applyBorder="1"/>
    <xf numFmtId="0" fontId="10" fillId="0" borderId="14" xfId="0" applyFont="1" applyBorder="1"/>
    <xf numFmtId="0" fontId="10" fillId="0" borderId="15" xfId="0" applyFont="1" applyBorder="1"/>
    <xf numFmtId="164" fontId="2" fillId="0" borderId="8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textRotation="90"/>
    </xf>
    <xf numFmtId="0" fontId="2" fillId="3" borderId="1" xfId="0" applyFont="1" applyFill="1" applyBorder="1"/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164" fontId="0" fillId="0" borderId="0" xfId="0" applyNumberFormat="1" applyBorder="1"/>
    <xf numFmtId="0" fontId="2" fillId="0" borderId="0" xfId="0" applyFont="1" applyBorder="1"/>
    <xf numFmtId="0" fontId="0" fillId="11" borderId="16" xfId="0" applyFill="1" applyBorder="1"/>
    <xf numFmtId="0" fontId="0" fillId="11" borderId="17" xfId="0" applyFill="1" applyBorder="1"/>
    <xf numFmtId="0" fontId="0" fillId="0" borderId="0" xfId="0" applyFill="1" applyBorder="1"/>
    <xf numFmtId="0" fontId="0" fillId="0" borderId="0" xfId="0" applyFill="1"/>
    <xf numFmtId="0" fontId="12" fillId="0" borderId="0" xfId="0" applyFont="1" applyFill="1" applyBorder="1" applyAlignment="1">
      <alignment horizontal="center" textRotation="90"/>
    </xf>
    <xf numFmtId="0" fontId="12" fillId="0" borderId="0" xfId="0" applyFont="1" applyFill="1" applyBorder="1" applyAlignment="1">
      <alignment textRotation="90"/>
    </xf>
    <xf numFmtId="9" fontId="0" fillId="0" borderId="0" xfId="0" applyNumberFormat="1" applyFont="1" applyFill="1" applyBorder="1" applyAlignment="1">
      <alignment textRotation="90"/>
    </xf>
    <xf numFmtId="0" fontId="0" fillId="0" borderId="0" xfId="0" applyFont="1" applyFill="1" applyBorder="1" applyAlignment="1">
      <alignment textRotation="90"/>
    </xf>
    <xf numFmtId="0" fontId="0" fillId="0" borderId="13" xfId="0" applyBorder="1" applyAlignment="1">
      <alignment wrapText="1"/>
    </xf>
    <xf numFmtId="0" fontId="0" fillId="0" borderId="6" xfId="0" applyBorder="1"/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0" fontId="3" fillId="13" borderId="0" xfId="0" applyFont="1" applyFill="1" applyAlignment="1"/>
    <xf numFmtId="0" fontId="2" fillId="14" borderId="4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5" xfId="0" applyFont="1" applyBorder="1"/>
    <xf numFmtId="0" fontId="8" fillId="0" borderId="4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/>
    <xf numFmtId="0" fontId="8" fillId="14" borderId="1" xfId="0" applyFont="1" applyFill="1" applyBorder="1"/>
    <xf numFmtId="0" fontId="8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9" xfId="0" applyFont="1" applyBorder="1"/>
    <xf numFmtId="0" fontId="8" fillId="0" borderId="6" xfId="0" applyFont="1" applyBorder="1"/>
    <xf numFmtId="0" fontId="7" fillId="0" borderId="0" xfId="0" applyFont="1" applyAlignment="1">
      <alignment horizontal="center"/>
    </xf>
    <xf numFmtId="0" fontId="10" fillId="4" borderId="0" xfId="0" applyFont="1" applyFill="1"/>
    <xf numFmtId="0" fontId="10" fillId="0" borderId="0" xfId="0" applyFont="1" applyAlignment="1">
      <alignment horizontal="center"/>
    </xf>
    <xf numFmtId="165" fontId="10" fillId="0" borderId="0" xfId="0" applyNumberFormat="1" applyFont="1"/>
    <xf numFmtId="0" fontId="10" fillId="5" borderId="5" xfId="0" applyFont="1" applyFill="1" applyBorder="1"/>
    <xf numFmtId="0" fontId="8" fillId="5" borderId="1" xfId="0" applyFont="1" applyFill="1" applyBorder="1"/>
    <xf numFmtId="0" fontId="10" fillId="5" borderId="4" xfId="0" applyFont="1" applyFill="1" applyBorder="1"/>
    <xf numFmtId="0" fontId="10" fillId="5" borderId="2" xfId="0" applyFont="1" applyFill="1" applyBorder="1"/>
    <xf numFmtId="0" fontId="10" fillId="5" borderId="6" xfId="0" applyFont="1" applyFill="1" applyBorder="1"/>
    <xf numFmtId="0" fontId="8" fillId="7" borderId="1" xfId="0" applyFont="1" applyFill="1" applyBorder="1"/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" fillId="15" borderId="0" xfId="0" applyFont="1" applyFill="1"/>
    <xf numFmtId="0" fontId="3" fillId="0" borderId="0" xfId="0" applyFont="1"/>
    <xf numFmtId="9" fontId="3" fillId="0" borderId="0" xfId="0" applyNumberFormat="1" applyFont="1"/>
    <xf numFmtId="0" fontId="0" fillId="0" borderId="0" xfId="0" applyAlignment="1">
      <alignment wrapText="1"/>
    </xf>
    <xf numFmtId="9" fontId="3" fillId="0" borderId="0" xfId="0" applyNumberFormat="1" applyFont="1" applyAlignment="1">
      <alignment wrapText="1"/>
    </xf>
    <xf numFmtId="0" fontId="7" fillId="0" borderId="0" xfId="0" applyFont="1" applyFill="1"/>
    <xf numFmtId="0" fontId="3" fillId="0" borderId="0" xfId="0" applyFont="1" applyFill="1"/>
    <xf numFmtId="1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2" fontId="3" fillId="0" borderId="0" xfId="0" applyNumberFormat="1" applyFont="1" applyBorder="1" applyAlignment="1">
      <alignment horizontal="center"/>
    </xf>
    <xf numFmtId="12" fontId="3" fillId="0" borderId="11" xfId="0" applyNumberFormat="1" applyFont="1" applyBorder="1" applyAlignment="1">
      <alignment horizontal="center"/>
    </xf>
    <xf numFmtId="12" fontId="3" fillId="0" borderId="14" xfId="0" applyNumberFormat="1" applyFont="1" applyBorder="1" applyAlignment="1">
      <alignment horizontal="center"/>
    </xf>
    <xf numFmtId="0" fontId="0" fillId="15" borderId="0" xfId="0" applyFill="1"/>
    <xf numFmtId="0" fontId="7" fillId="0" borderId="4" xfId="0" applyFont="1" applyBorder="1"/>
    <xf numFmtId="0" fontId="7" fillId="0" borderId="2" xfId="0" applyFont="1" applyBorder="1"/>
    <xf numFmtId="0" fontId="7" fillId="0" borderId="4" xfId="0" applyFont="1" applyFill="1" applyBorder="1" applyAlignment="1">
      <alignment wrapText="1"/>
    </xf>
    <xf numFmtId="0" fontId="7" fillId="0" borderId="3" xfId="0" applyFont="1" applyBorder="1"/>
    <xf numFmtId="0" fontId="0" fillId="0" borderId="7" xfId="0" applyBorder="1"/>
    <xf numFmtId="165" fontId="10" fillId="0" borderId="8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165" fontId="10" fillId="0" borderId="13" xfId="0" applyNumberFormat="1" applyFont="1" applyBorder="1" applyAlignment="1">
      <alignment horizontal="center"/>
    </xf>
    <xf numFmtId="165" fontId="10" fillId="0" borderId="11" xfId="0" applyNumberFormat="1" applyFont="1" applyBorder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0" fontId="0" fillId="0" borderId="15" xfId="0" applyBorder="1" applyAlignment="1"/>
    <xf numFmtId="166" fontId="2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9" fillId="0" borderId="4" xfId="0" applyFont="1" applyBorder="1"/>
    <xf numFmtId="0" fontId="0" fillId="0" borderId="1" xfId="0" applyBorder="1"/>
    <xf numFmtId="0" fontId="0" fillId="3" borderId="1" xfId="0" applyFill="1" applyBorder="1"/>
    <xf numFmtId="0" fontId="0" fillId="0" borderId="13" xfId="0" applyBorder="1"/>
    <xf numFmtId="0" fontId="0" fillId="0" borderId="12" xfId="0" applyBorder="1"/>
    <xf numFmtId="0" fontId="15" fillId="9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0" borderId="10" xfId="0" applyFont="1" applyBorder="1" applyAlignment="1">
      <alignment horizontal="center"/>
    </xf>
    <xf numFmtId="0" fontId="1" fillId="15" borderId="7" xfId="0" applyFont="1" applyFill="1" applyBorder="1" applyAlignment="1">
      <alignment horizontal="center"/>
    </xf>
    <xf numFmtId="0" fontId="1" fillId="15" borderId="14" xfId="0" applyFont="1" applyFill="1" applyBorder="1" applyAlignment="1">
      <alignment horizontal="center"/>
    </xf>
    <xf numFmtId="0" fontId="1" fillId="15" borderId="15" xfId="0" applyFont="1" applyFill="1" applyBorder="1" applyAlignment="1">
      <alignment horizontal="center"/>
    </xf>
    <xf numFmtId="167" fontId="0" fillId="12" borderId="0" xfId="0" applyNumberFormat="1" applyFill="1"/>
    <xf numFmtId="167" fontId="0" fillId="6" borderId="0" xfId="0" applyNumberFormat="1" applyFill="1"/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/>
    </xf>
    <xf numFmtId="9" fontId="0" fillId="0" borderId="9" xfId="0" applyNumberFormat="1" applyFont="1" applyBorder="1" applyAlignment="1">
      <alignment horizontal="center" textRotation="90"/>
    </xf>
    <xf numFmtId="0" fontId="0" fillId="0" borderId="6" xfId="0" applyFont="1" applyBorder="1" applyAlignment="1">
      <alignment horizontal="center" textRotation="90"/>
    </xf>
    <xf numFmtId="0" fontId="13" fillId="0" borderId="1" xfId="0" applyFont="1" applyBorder="1" applyAlignment="1">
      <alignment horizontal="center" textRotation="90"/>
    </xf>
    <xf numFmtId="12" fontId="12" fillId="0" borderId="1" xfId="0" applyNumberFormat="1" applyFont="1" applyBorder="1" applyAlignment="1">
      <alignment horizontal="center" textRotation="90"/>
    </xf>
    <xf numFmtId="0" fontId="12" fillId="0" borderId="1" xfId="0" applyFont="1" applyBorder="1" applyAlignment="1">
      <alignment horizontal="center" textRotation="90"/>
    </xf>
    <xf numFmtId="0" fontId="14" fillId="0" borderId="1" xfId="0" applyFont="1" applyBorder="1" applyAlignment="1">
      <alignment horizontal="center" textRotation="90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8"/>
  <sheetViews>
    <sheetView tabSelected="1" zoomScaleNormal="100" workbookViewId="0">
      <selection activeCell="B5" sqref="B5"/>
    </sheetView>
  </sheetViews>
  <sheetFormatPr defaultRowHeight="15" x14ac:dyDescent="0.25"/>
  <cols>
    <col min="1" max="1" width="14.7109375" customWidth="1"/>
    <col min="2" max="2" width="14" customWidth="1"/>
    <col min="3" max="3" width="17.140625" customWidth="1"/>
    <col min="4" max="5" width="15.85546875" customWidth="1"/>
    <col min="6" max="6" width="14.42578125" customWidth="1"/>
    <col min="7" max="7" width="16.140625" customWidth="1"/>
    <col min="8" max="8" width="16.7109375" customWidth="1"/>
    <col min="9" max="9" width="15.85546875" customWidth="1"/>
    <col min="12" max="12" width="10.28515625" customWidth="1"/>
    <col min="13" max="13" width="16.28515625" customWidth="1"/>
    <col min="14" max="14" width="15.7109375" customWidth="1"/>
  </cols>
  <sheetData>
    <row r="2" spans="1:9" x14ac:dyDescent="0.25">
      <c r="C2" s="162" t="s">
        <v>52</v>
      </c>
      <c r="D2" s="162"/>
    </row>
    <row r="4" spans="1:9" ht="15.75" thickBot="1" x14ac:dyDescent="0.3">
      <c r="A4" s="7" t="s">
        <v>42</v>
      </c>
      <c r="B4" s="7" t="s">
        <v>43</v>
      </c>
      <c r="C4" s="7" t="s">
        <v>44</v>
      </c>
    </row>
    <row r="5" spans="1:9" ht="15.75" thickBot="1" x14ac:dyDescent="0.3">
      <c r="A5" s="70">
        <v>1</v>
      </c>
      <c r="B5" s="70"/>
      <c r="C5" s="71"/>
      <c r="F5" t="s">
        <v>45</v>
      </c>
      <c r="G5" s="158">
        <f>SUM(N43,N54)</f>
        <v>414697095.50201738</v>
      </c>
    </row>
    <row r="6" spans="1:9" ht="15.75" thickTop="1" x14ac:dyDescent="0.25">
      <c r="A6" s="72"/>
      <c r="B6" s="72"/>
      <c r="C6" s="72"/>
      <c r="D6" s="73"/>
      <c r="E6" s="73"/>
      <c r="F6" s="73"/>
      <c r="G6" s="73"/>
    </row>
    <row r="8" spans="1:9" ht="36.75" x14ac:dyDescent="0.25">
      <c r="A8" s="1"/>
      <c r="B8" s="87" t="s">
        <v>0</v>
      </c>
      <c r="C8" s="88" t="s">
        <v>1</v>
      </c>
      <c r="D8" s="88" t="s">
        <v>2</v>
      </c>
      <c r="E8" s="88" t="s">
        <v>3</v>
      </c>
      <c r="F8" s="88" t="s">
        <v>4</v>
      </c>
      <c r="G8" s="88" t="s">
        <v>5</v>
      </c>
      <c r="H8" s="88" t="s">
        <v>6</v>
      </c>
      <c r="I8" s="88" t="s">
        <v>7</v>
      </c>
    </row>
    <row r="9" spans="1:9" x14ac:dyDescent="0.25">
      <c r="A9" s="163" t="s">
        <v>8</v>
      </c>
      <c r="B9" s="4" t="s">
        <v>9</v>
      </c>
      <c r="C9" s="2">
        <v>113.3</v>
      </c>
      <c r="D9" s="2">
        <v>196.35</v>
      </c>
      <c r="E9" s="2">
        <v>837.93</v>
      </c>
      <c r="F9" s="2">
        <v>198.4</v>
      </c>
      <c r="G9" s="2">
        <v>328.23</v>
      </c>
      <c r="H9" s="2">
        <v>350.42</v>
      </c>
      <c r="I9" s="2">
        <v>358.67</v>
      </c>
    </row>
    <row r="10" spans="1:9" x14ac:dyDescent="0.25">
      <c r="A10" s="163"/>
      <c r="B10" s="5" t="s">
        <v>10</v>
      </c>
      <c r="C10" s="2">
        <v>333.8</v>
      </c>
      <c r="D10" s="2">
        <v>567.29999999999995</v>
      </c>
      <c r="E10" s="2">
        <v>451.36</v>
      </c>
      <c r="F10" s="2">
        <v>570.4</v>
      </c>
      <c r="G10" s="2">
        <v>239.16</v>
      </c>
      <c r="H10" s="2">
        <v>352.16</v>
      </c>
      <c r="I10" s="2">
        <v>330.22</v>
      </c>
    </row>
    <row r="11" spans="1:9" x14ac:dyDescent="0.25">
      <c r="A11" s="163"/>
      <c r="B11" s="5" t="s">
        <v>11</v>
      </c>
      <c r="C11" s="2">
        <v>116.06</v>
      </c>
      <c r="D11" s="2">
        <v>227.35</v>
      </c>
      <c r="E11" s="2">
        <v>868.93</v>
      </c>
      <c r="F11" s="2">
        <v>230.02</v>
      </c>
      <c r="G11" s="2">
        <v>359.23</v>
      </c>
      <c r="H11" s="2">
        <v>381.42</v>
      </c>
      <c r="I11" s="2">
        <v>389.67</v>
      </c>
    </row>
    <row r="12" spans="1:9" x14ac:dyDescent="0.25">
      <c r="A12" s="164" t="s">
        <v>12</v>
      </c>
      <c r="B12" s="5" t="s">
        <v>9</v>
      </c>
      <c r="C12" s="141">
        <v>1.9014308176100631E-2</v>
      </c>
      <c r="D12" s="141">
        <v>2.8713993710691825E-2</v>
      </c>
      <c r="E12" s="141">
        <v>0.11279418238993708</v>
      </c>
      <c r="F12" s="141">
        <v>2.8713993710691825E-2</v>
      </c>
      <c r="G12" s="141">
        <v>4.6509748427672963E-2</v>
      </c>
      <c r="H12" s="141">
        <v>5.0482232704402524E-2</v>
      </c>
      <c r="I12" s="141">
        <v>5.0482232704402524E-2</v>
      </c>
    </row>
    <row r="13" spans="1:9" x14ac:dyDescent="0.25">
      <c r="A13" s="164"/>
      <c r="B13" s="5" t="s">
        <v>10</v>
      </c>
      <c r="C13" s="141">
        <v>4.2469025157232693E-2</v>
      </c>
      <c r="D13" s="141">
        <v>7.7797327044025144E-2</v>
      </c>
      <c r="E13" s="141">
        <v>6.2302201257861636E-2</v>
      </c>
      <c r="F13" s="141">
        <v>3.6561477987421383E-2</v>
      </c>
      <c r="G13" s="141">
        <v>5.6258176100628943E-2</v>
      </c>
      <c r="H13" s="141">
        <v>5.0482232704402524E-2</v>
      </c>
      <c r="I13" s="141">
        <v>5.0482232704402524E-2</v>
      </c>
    </row>
    <row r="14" spans="1:9" x14ac:dyDescent="0.25">
      <c r="A14" s="164"/>
      <c r="B14" s="5" t="s">
        <v>11</v>
      </c>
      <c r="C14" s="141">
        <v>1.9014308176100631E-2</v>
      </c>
      <c r="D14" s="141">
        <v>3.3568710691823905E-2</v>
      </c>
      <c r="E14" s="141">
        <v>0.12052955974842768</v>
      </c>
      <c r="F14" s="141">
        <v>3.2559748427672952E-2</v>
      </c>
      <c r="G14" s="141">
        <v>5.0482232704402524E-2</v>
      </c>
      <c r="H14" s="141">
        <v>5.4420597484276731E-2</v>
      </c>
      <c r="I14" s="141">
        <v>5.4420597484276731E-2</v>
      </c>
    </row>
    <row r="15" spans="1:9" x14ac:dyDescent="0.25">
      <c r="A15" s="6"/>
      <c r="B15" s="6"/>
      <c r="C15" s="6"/>
      <c r="D15" s="6"/>
      <c r="E15" s="6"/>
      <c r="F15" s="6"/>
      <c r="G15" s="6"/>
      <c r="H15" s="6"/>
      <c r="I15" s="6"/>
    </row>
    <row r="17" spans="1:9" x14ac:dyDescent="0.25">
      <c r="B17" s="7"/>
      <c r="C17" s="160" t="s">
        <v>76</v>
      </c>
      <c r="D17" s="160"/>
    </row>
    <row r="18" spans="1:9" x14ac:dyDescent="0.25">
      <c r="C18" s="103" t="s">
        <v>1</v>
      </c>
      <c r="D18" s="103" t="s">
        <v>2</v>
      </c>
      <c r="E18" s="103" t="s">
        <v>3</v>
      </c>
      <c r="F18" s="103" t="s">
        <v>4</v>
      </c>
      <c r="G18" s="103" t="s">
        <v>5</v>
      </c>
      <c r="H18" s="103" t="s">
        <v>6</v>
      </c>
      <c r="I18" s="103" t="s">
        <v>7</v>
      </c>
    </row>
    <row r="19" spans="1:9" x14ac:dyDescent="0.25">
      <c r="A19" s="165" t="s">
        <v>9</v>
      </c>
      <c r="B19" s="1" t="s">
        <v>13</v>
      </c>
      <c r="C19" s="2">
        <f>IF(A5=1,'Cost Structure'!F4,IF(Model!A5=2,'Cost Structure'!F6,IF(Model!A5=3,'Cost Structure'!F9,IF(Model!A5=4,'Cost Structure'!F11,IF(Model!A5=5,'Cost Structure'!F14,IF(Model!A5=6,'Cost Structure'!F16,0))))))</f>
        <v>20.29527632445599</v>
      </c>
      <c r="D19" s="82">
        <f>IF(A5=1,'Cost Structure'!G4,IF(Model!A5=2,'Cost Structure'!G6,IF(Model!A5=3,'Cost Structure'!G9,IF(Model!A5=4,'Cost Structure'!G11,IF(Model!A5=5,'Cost Structure'!G14,IF(Model!A5=6,'Cost Structure'!G16,0))))))</f>
        <v>18.951868467819107</v>
      </c>
      <c r="E19" s="82">
        <f>IF(A5=1,'Cost Structure'!H4,IF(Model!A5=2,'Cost Structure'!H6,IF(Model!A5=3,'Cost Structure'!H9,IF(Model!A5=4,'Cost Structure'!H11,IF(Model!A5=5,'Cost Structure'!H14,IF(Model!A5=6,'Cost Structure'!H16,0))))))</f>
        <v>15.161494774255285</v>
      </c>
      <c r="F19" s="82">
        <f>IF(A5=1,'Cost Structure'!I4,IF(Model!A5=2,'Cost Structure'!I6,IF(Model!A5=3,'Cost Structure'!I9,IF(Model!A5=4,'Cost Structure'!I11,IF(Model!A5=5,'Cost Structure'!I14,IF(Model!A5=6,'Cost Structure'!I16,0))))))</f>
        <v>9.6934146917369866</v>
      </c>
      <c r="G19" s="82">
        <f>IF(A5=1,'Cost Structure'!J4,IF(Model!A5=2,'Cost Structure'!J6,IF(Model!A5=3,'Cost Structure'!J9,IF(Model!A5=4,'Cost Structure'!J11,IF(Model!A5=5,'Cost Structure'!J14,IF(Model!A5=6,'Cost Structure'!J16,0))))))</f>
        <v>44.521356580958653</v>
      </c>
      <c r="H19" s="82">
        <f>IF(A5=1,'Cost Structure'!K4,IF(Model!A5=2,'Cost Structure'!K6,IF(Model!A5=3,'Cost Structure'!K9,IF(Model!A5=4,'Cost Structure'!K11,IF(Model!A5=5,'Cost Structure'!K14,IF(Model!A5=6,'Cost Structure'!K16,0))))))</f>
        <v>36.679632644438094</v>
      </c>
      <c r="I19" s="82">
        <f>IF(A5=1,'Cost Structure'!L4,IF(Model!A5=2,'Cost Structure'!L6,IF(Model!A5=3,'Cost Structure'!L9,IF(Model!A5=4,'Cost Structure'!L11,IF(Model!A5=5,'Cost Structure'!L14,IF(Model!A5=6,'Cost Structure'!L16,0))))))</f>
        <v>25.476903575378728</v>
      </c>
    </row>
    <row r="20" spans="1:9" x14ac:dyDescent="0.25">
      <c r="A20" s="165"/>
      <c r="B20" s="1" t="s">
        <v>14</v>
      </c>
      <c r="C20" s="82">
        <f>IF(A5=1,'Cost Structure'!F5,IF(Model!A5=2,'Cost Structure'!F7,IF(Model!A5=3,'Cost Structure'!F10,IF(Model!A5=4,'Cost Structure'!F12,IF(Model!A5=5,'Cost Structure'!F15,IF(Model!A5=6,'Cost Structure'!F17,0))))))</f>
        <v>21.250947593423401</v>
      </c>
      <c r="D20" s="82">
        <f>IF(A5=1,'Cost Structure'!G5,IF(Model!A5=2,'Cost Structure'!G7,IF(Model!A5=3,'Cost Structure'!G10,IF(Model!A5=4,'Cost Structure'!G12,IF(Model!A5=5,'Cost Structure'!G15,IF(Model!A5=6,'Cost Structure'!G17,0))))))</f>
        <v>19.978376228764589</v>
      </c>
      <c r="E20" s="82">
        <f>IF(A5=1,'Cost Structure'!H5,IF(Model!A5=2,'Cost Structure'!H7,IF(Model!A5=3,'Cost Structure'!H10,IF(Model!A5=4,'Cost Structure'!H12,IF(Model!A5=5,'Cost Structure'!H15,IF(Model!A5=6,'Cost Structure'!H17,0))))))</f>
        <v>18.019809362844398</v>
      </c>
      <c r="F20" s="82">
        <f>IF(A5=1,'Cost Structure'!I5,IF(Model!A5=2,'Cost Structure'!I7,IF(Model!A5=3,'Cost Structure'!I10,IF(Model!A5=4,'Cost Structure'!I12,IF(Model!A5=5,'Cost Structure'!I15,IF(Model!A5=6,'Cost Structure'!I17,0))))))</f>
        <v>13.608062932630769</v>
      </c>
      <c r="G20" s="82">
        <f>IF(A5=1,'Cost Structure'!J5,IF(Model!A5=2,'Cost Structure'!J7,IF(Model!A5=3,'Cost Structure'!J10,IF(Model!A5=4,'Cost Structure'!J12,IF(Model!A5=5,'Cost Structure'!J15,IF(Model!A5=6,'Cost Structure'!J17,0))))))</f>
        <v>31.870207662768589</v>
      </c>
      <c r="H20" s="82">
        <f>IF(A5=1,'Cost Structure'!K5,IF(Model!A5=2,'Cost Structure'!K7,IF(Model!A5=3,'Cost Structure'!K10,IF(Model!A5=4,'Cost Structure'!K12,IF(Model!A5=5,'Cost Structure'!K15,IF(Model!A5=6,'Cost Structure'!K17,0))))))</f>
        <v>21.859892875340204</v>
      </c>
      <c r="I20" s="82">
        <f>IF(A5=1,'Cost Structure'!L5,IF(Model!A5=2,'Cost Structure'!L7,IF(Model!A5=3,'Cost Structure'!L10,IF(Model!A5=4,'Cost Structure'!L12,IF(Model!A5=5,'Cost Structure'!L15,IF(Model!A5=6,'Cost Structure'!L17,0))))))</f>
        <v>21.064535772428449</v>
      </c>
    </row>
    <row r="21" spans="1:9" x14ac:dyDescent="0.25">
      <c r="A21" s="165"/>
      <c r="B21" s="65" t="s">
        <v>15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</row>
    <row r="22" spans="1:9" x14ac:dyDescent="0.25">
      <c r="A22" s="165" t="s">
        <v>10</v>
      </c>
      <c r="B22" s="1" t="s">
        <v>13</v>
      </c>
      <c r="C22" s="2">
        <f>IF(B5=1,'Cost Structure'!F23,IF(Model!B5=2,'Cost Structure'!F25,IF(Model!B5=3,'Cost Structure'!F28,IF(Model!B5=4,'Cost Structure'!F30,IF(Model!B5=5,'Cost Structure'!F33,IF(Model!B5=6,'Cost Structure'!F35,0))))))</f>
        <v>0</v>
      </c>
      <c r="D22" s="82">
        <f>IF(B5=1,'Cost Structure'!G23,IF(Model!B5=2,'Cost Structure'!G25,IF(Model!B5=3,'Cost Structure'!G28,IF(Model!B5=4,'Cost Structure'!G30,IF(Model!B5=5,'Cost Structure'!G33,IF(Model!B5=6,'Cost Structure'!G35,0))))))</f>
        <v>0</v>
      </c>
      <c r="E22" s="82">
        <f>IF(B5=1,'Cost Structure'!H23,IF(Model!B5=2,'Cost Structure'!H25,IF(Model!B5=3,'Cost Structure'!H28,IF(Model!B5=4,'Cost Structure'!H30,IF(Model!B5=5,'Cost Structure'!H33,IF(Model!B5=6,'Cost Structure'!H35,0))))))</f>
        <v>0</v>
      </c>
      <c r="F22" s="82">
        <f>IF(B5=1,'Cost Structure'!I23,IF(Model!B5=2,'Cost Structure'!I25,IF(Model!B5=3,'Cost Structure'!I28,IF(Model!B5=4,'Cost Structure'!I30,IF(Model!B5=5,'Cost Structure'!I33,IF(Model!B5=6,'Cost Structure'!I35,0))))))</f>
        <v>0</v>
      </c>
      <c r="G22" s="82">
        <f>IF(B5=1,'Cost Structure'!J23,IF(Model!B5=2,'Cost Structure'!J25,IF(Model!B5=3,'Cost Structure'!J28,IF(Model!B5=4,'Cost Structure'!J30,IF(Model!B5=5,'Cost Structure'!J33,IF(Model!B5=6,'Cost Structure'!J35,0))))))</f>
        <v>0</v>
      </c>
      <c r="H22" s="82">
        <f>IF(B5=1,'Cost Structure'!K23,IF(Model!B5=2,'Cost Structure'!K25,IF(Model!B5=3,'Cost Structure'!K28,IF(Model!B5=4,'Cost Structure'!K30,IF(Model!B5=5,'Cost Structure'!K33,IF(Model!B5=6,'Cost Structure'!K35,0))))))</f>
        <v>0</v>
      </c>
      <c r="I22" s="82">
        <f>IF(B5=1,'Cost Structure'!L23,IF(Model!B5=2,'Cost Structure'!L25,IF(Model!B5=3,'Cost Structure'!L28,IF(Model!B5=4,'Cost Structure'!L30,IF(Model!B5=5,'Cost Structure'!L33,IF(Model!B5=6,'Cost Structure'!L35,0))))))</f>
        <v>0</v>
      </c>
    </row>
    <row r="23" spans="1:9" x14ac:dyDescent="0.25">
      <c r="A23" s="165"/>
      <c r="B23" s="1" t="s">
        <v>14</v>
      </c>
      <c r="C23" s="82">
        <f>IF(B5=1,'Cost Structure'!F24,IF(Model!B5=2,'Cost Structure'!F26,IF(Model!B5=3,'Cost Structure'!F29,IF(Model!B5=4,'Cost Structure'!F31,IF(Model!B5=5,'Cost Structure'!F34,IF(Model!B5=6,'Cost Structure'!F36,0))))))</f>
        <v>0</v>
      </c>
      <c r="D23" s="82">
        <f>IF(B5=1,'Cost Structure'!G24,IF(Model!B5=2,'Cost Structure'!G26,IF(Model!B5=3,'Cost Structure'!G29,IF(Model!B5=4,'Cost Structure'!G31,IF(Model!B5=5,'Cost Structure'!G34,IF(Model!B5=6,'Cost Structure'!G36,0))))))</f>
        <v>0</v>
      </c>
      <c r="E23" s="82">
        <f>IF(B5=1,'Cost Structure'!H24,IF(Model!B5=2,'Cost Structure'!H26,IF(Model!B5=3,'Cost Structure'!H29,IF(Model!B5=4,'Cost Structure'!H31,IF(Model!B5=5,'Cost Structure'!H34,IF(Model!B5=6,'Cost Structure'!H36,0))))))</f>
        <v>0</v>
      </c>
      <c r="F23" s="82">
        <f>IF(B5=1,'Cost Structure'!I24,IF(Model!B5=2,'Cost Structure'!I26,IF(Model!B5=3,'Cost Structure'!I29,IF(Model!B5=4,'Cost Structure'!I31,IF(Model!B5=5,'Cost Structure'!I34,IF(Model!B5=6,'Cost Structure'!I36,0))))))</f>
        <v>0</v>
      </c>
      <c r="G23" s="82">
        <f>IF(B5=1,'Cost Structure'!J24,IF(Model!B5=2,'Cost Structure'!J26,IF(Model!B5=3,'Cost Structure'!J29,IF(Model!B5=4,'Cost Structure'!J31,IF(Model!B5=5,'Cost Structure'!J34,IF(Model!B5=6,'Cost Structure'!J36,0))))))</f>
        <v>0</v>
      </c>
      <c r="H23" s="82">
        <f>IF(B5=1,'Cost Structure'!K24,IF(Model!B5=2,'Cost Structure'!K26,IF(Model!B5=3,'Cost Structure'!K29,IF(Model!B5=4,'Cost Structure'!K31,IF(Model!B5=5,'Cost Structure'!K34,IF(Model!B5=6,'Cost Structure'!K36,0))))))</f>
        <v>0</v>
      </c>
      <c r="I23" s="82">
        <f>IF(B5=1,'Cost Structure'!L24,IF(Model!B5=2,'Cost Structure'!L26,IF(Model!B5=3,'Cost Structure'!L29,IF(Model!B5=4,'Cost Structure'!L31,IF(Model!B5=5,'Cost Structure'!L34,IF(Model!B5=6,'Cost Structure'!L36,0))))))</f>
        <v>0</v>
      </c>
    </row>
    <row r="24" spans="1:9" x14ac:dyDescent="0.25">
      <c r="A24" s="165"/>
      <c r="B24" s="65" t="s">
        <v>15</v>
      </c>
      <c r="C24" s="8">
        <v>0</v>
      </c>
      <c r="D24" s="8">
        <v>0</v>
      </c>
      <c r="E24" s="8">
        <v>1</v>
      </c>
      <c r="F24" s="8">
        <v>0</v>
      </c>
      <c r="G24" s="8">
        <v>1</v>
      </c>
      <c r="H24" s="8">
        <v>0</v>
      </c>
      <c r="I24" s="8">
        <v>0</v>
      </c>
    </row>
    <row r="25" spans="1:9" x14ac:dyDescent="0.25">
      <c r="A25" s="165" t="s">
        <v>11</v>
      </c>
      <c r="B25" s="1" t="s">
        <v>13</v>
      </c>
      <c r="C25" s="2">
        <f>IF(C5=1,'Cost Structure'!F42,IF(Model!C5=2,'Cost Structure'!F44,IF(Model!C5=3,'Cost Structure'!F47,IF(Model!C5=4,'Cost Structure'!F49,IF(Model!C5=5,'Cost Structure'!F52,IF(Model!C5=6,'Cost Structure'!F54,0))))))</f>
        <v>0</v>
      </c>
      <c r="D25" s="82">
        <f>IF(C5=1,'Cost Structure'!G42,IF(Model!C5=2,'Cost Structure'!G44,IF(Model!C5=3,'Cost Structure'!G47,IF(Model!C5=4,'Cost Structure'!G49,IF(Model!C5=5,'Cost Structure'!G52,IF(Model!C5=6,'Cost Structure'!G54,0))))))</f>
        <v>0</v>
      </c>
      <c r="E25" s="82">
        <f>IF(C5=1,'Cost Structure'!H42,IF(Model!C5=2,'Cost Structure'!H44,IF(Model!C5=3,'Cost Structure'!H47,IF(Model!C5=4,'Cost Structure'!H49,IF(Model!C5=5,'Cost Structure'!H52,IF(Model!C5=6,'Cost Structure'!H54,0))))))</f>
        <v>0</v>
      </c>
      <c r="F25" s="82">
        <f>IF(C5=1,'Cost Structure'!I42,IF(Model!C5=2,'Cost Structure'!I44,IF(Model!C5=3,'Cost Structure'!I47,IF(Model!C5=4,'Cost Structure'!I49,IF(Model!C5=5,'Cost Structure'!I52,IF(Model!C5=6,'Cost Structure'!I54,0))))))</f>
        <v>0</v>
      </c>
      <c r="G25" s="82">
        <f>IF(C5=1,'Cost Structure'!J42,IF(Model!C5=2,'Cost Structure'!J44,IF(Model!C5=3,'Cost Structure'!J47,IF(Model!C5=4,'Cost Structure'!J49,IF(Model!C5=5,'Cost Structure'!J52,IF(Model!C5=6,'Cost Structure'!J54,0))))))</f>
        <v>0</v>
      </c>
      <c r="H25" s="82">
        <f>IF(C5=1,'Cost Structure'!K42,IF(Model!C5=2,'Cost Structure'!K44,IF(Model!C5=3,'Cost Structure'!K47,IF(Model!C5=4,'Cost Structure'!K49,IF(Model!C5=5,'Cost Structure'!K52,IF(Model!C5=6,'Cost Structure'!K54,0))))))</f>
        <v>0</v>
      </c>
      <c r="I25" s="82">
        <f>IF(C5=1,'Cost Structure'!L42,IF(Model!C5=2,'Cost Structure'!L44,IF(Model!C5=3,'Cost Structure'!L47,IF(Model!C5=4,'Cost Structure'!L49,IF(Model!C5=5,'Cost Structure'!L52,IF(Model!C5=6,'Cost Structure'!L54,0))))))</f>
        <v>0</v>
      </c>
    </row>
    <row r="26" spans="1:9" x14ac:dyDescent="0.25">
      <c r="A26" s="165"/>
      <c r="B26" s="1" t="s">
        <v>14</v>
      </c>
      <c r="C26" s="82">
        <f>IF(C5=1,'Cost Structure'!F43,IF(Model!C5=2,'Cost Structure'!F45,IF(Model!C5=3,'Cost Structure'!F48,IF(Model!C5=4,'Cost Structure'!F50,IF(Model!C5=5,'Cost Structure'!F53,IF(Model!C5=6,'Cost Structure'!F55,0))))))</f>
        <v>0</v>
      </c>
      <c r="D26" s="82">
        <f>IF(C5=1,'Cost Structure'!G43,IF(Model!C5=2,'Cost Structure'!G45,IF(Model!C5=3,'Cost Structure'!G48,IF(Model!C5=4,'Cost Structure'!G50,IF(Model!C5=5,'Cost Structure'!G53,IF(Model!C5=6,'Cost Structure'!G55,0))))))</f>
        <v>0</v>
      </c>
      <c r="E26" s="82">
        <f>IF(C5=1,'Cost Structure'!H43,IF(Model!C5=2,'Cost Structure'!H45,IF(Model!C5=3,'Cost Structure'!H48,IF(Model!C5=4,'Cost Structure'!H50,IF(Model!C5=5,'Cost Structure'!H53,IF(Model!C5=6,'Cost Structure'!H55,0))))))</f>
        <v>0</v>
      </c>
      <c r="F26" s="82">
        <f>IF(C5=1,'Cost Structure'!I43,IF(Model!C5=2,'Cost Structure'!I45,IF(Model!C5=3,'Cost Structure'!I48,IF(Model!C5=4,'Cost Structure'!I50,IF(Model!C5=5,'Cost Structure'!I53,IF(Model!C5=6,'Cost Structure'!I55,0))))))</f>
        <v>0</v>
      </c>
      <c r="G26" s="82">
        <f>IF(C5=1,'Cost Structure'!J43,IF(Model!C5=2,'Cost Structure'!J45,IF(Model!C5=3,'Cost Structure'!J48,IF(Model!C5=4,'Cost Structure'!J50,IF(Model!C5=5,'Cost Structure'!J53,IF(Model!C5=6,'Cost Structure'!J55,0))))))</f>
        <v>0</v>
      </c>
      <c r="H26" s="82">
        <f>IF(C5=1,'Cost Structure'!K43,IF(Model!C5=2,'Cost Structure'!K45,IF(Model!C5=3,'Cost Structure'!K48,IF(Model!C5=4,'Cost Structure'!K50,IF(Model!C5=5,'Cost Structure'!K53,IF(Model!C5=6,'Cost Structure'!K55,0))))))</f>
        <v>0</v>
      </c>
      <c r="I26" s="82">
        <f>IF(C5=1,'Cost Structure'!L43,IF(Model!C5=2,'Cost Structure'!L45,IF(Model!C5=3,'Cost Structure'!L48,IF(Model!C5=4,'Cost Structure'!L50,IF(Model!C5=5,'Cost Structure'!L53,IF(Model!C5=6,'Cost Structure'!L55,0))))))</f>
        <v>0</v>
      </c>
    </row>
    <row r="27" spans="1:9" x14ac:dyDescent="0.25">
      <c r="A27" s="165"/>
      <c r="B27" s="65" t="s">
        <v>15</v>
      </c>
      <c r="C27" s="8">
        <v>1</v>
      </c>
      <c r="D27" s="8">
        <v>1</v>
      </c>
      <c r="E27" s="8">
        <v>0</v>
      </c>
      <c r="F27" s="8">
        <v>1</v>
      </c>
      <c r="G27" s="8">
        <v>0</v>
      </c>
      <c r="H27" s="8">
        <v>1</v>
      </c>
      <c r="I27" s="8">
        <v>1</v>
      </c>
    </row>
    <row r="28" spans="1:9" x14ac:dyDescent="0.25">
      <c r="B28" s="6" t="s">
        <v>16</v>
      </c>
      <c r="C28" s="9">
        <v>13700000</v>
      </c>
      <c r="D28" s="9">
        <v>12000000</v>
      </c>
      <c r="E28" s="9">
        <v>9000000</v>
      </c>
      <c r="F28" s="9">
        <v>6500000</v>
      </c>
      <c r="G28" s="9">
        <v>33000000</v>
      </c>
      <c r="H28" s="9">
        <v>27000000</v>
      </c>
      <c r="I28" s="9">
        <v>20000000</v>
      </c>
    </row>
    <row r="29" spans="1:9" x14ac:dyDescent="0.25">
      <c r="C29" s="10" t="s">
        <v>17</v>
      </c>
      <c r="D29" s="10" t="s">
        <v>17</v>
      </c>
      <c r="E29" s="10" t="s">
        <v>17</v>
      </c>
      <c r="F29" s="10" t="s">
        <v>17</v>
      </c>
      <c r="G29" s="10" t="s">
        <v>17</v>
      </c>
      <c r="H29" s="10" t="s">
        <v>17</v>
      </c>
      <c r="I29" s="10" t="s">
        <v>17</v>
      </c>
    </row>
    <row r="30" spans="1:9" x14ac:dyDescent="0.25">
      <c r="C30" s="105">
        <f>SUM(C21,C24,C27)</f>
        <v>2</v>
      </c>
      <c r="D30" s="105">
        <f t="shared" ref="D30:I30" si="0">SUM(D21,D24,D27)</f>
        <v>2</v>
      </c>
      <c r="E30" s="105">
        <f t="shared" si="0"/>
        <v>2</v>
      </c>
      <c r="F30" s="105">
        <f t="shared" si="0"/>
        <v>2</v>
      </c>
      <c r="G30" s="105">
        <f t="shared" si="0"/>
        <v>2</v>
      </c>
      <c r="H30" s="105">
        <f t="shared" si="0"/>
        <v>2</v>
      </c>
      <c r="I30" s="105">
        <f t="shared" si="0"/>
        <v>2</v>
      </c>
    </row>
    <row r="31" spans="1:9" x14ac:dyDescent="0.25">
      <c r="B31" s="11" t="s">
        <v>18</v>
      </c>
      <c r="C31" s="104">
        <v>2</v>
      </c>
      <c r="D31" s="104">
        <v>2</v>
      </c>
      <c r="E31" s="104">
        <v>2</v>
      </c>
      <c r="F31" s="104">
        <v>2</v>
      </c>
      <c r="G31" s="104">
        <v>2</v>
      </c>
      <c r="H31" s="104">
        <v>2</v>
      </c>
      <c r="I31" s="104">
        <v>2</v>
      </c>
    </row>
    <row r="33" spans="2:15" x14ac:dyDescent="0.25">
      <c r="C33" s="160" t="s">
        <v>77</v>
      </c>
      <c r="D33" s="160"/>
    </row>
    <row r="34" spans="2:15" ht="24.75" x14ac:dyDescent="0.25">
      <c r="B34" s="89"/>
      <c r="C34" s="91" t="s">
        <v>19</v>
      </c>
      <c r="D34" s="91" t="s">
        <v>20</v>
      </c>
      <c r="E34" s="91" t="s">
        <v>3</v>
      </c>
      <c r="F34" s="91" t="s">
        <v>4</v>
      </c>
      <c r="G34" s="91" t="s">
        <v>5</v>
      </c>
      <c r="H34" s="91" t="s">
        <v>6</v>
      </c>
      <c r="I34" s="91" t="s">
        <v>7</v>
      </c>
      <c r="J34" s="92" t="s">
        <v>21</v>
      </c>
      <c r="K34" s="93"/>
      <c r="L34" s="93"/>
      <c r="M34" s="142" t="s">
        <v>79</v>
      </c>
      <c r="N34" s="143" t="s">
        <v>78</v>
      </c>
      <c r="O34" s="94"/>
    </row>
    <row r="35" spans="2:15" x14ac:dyDescent="0.25">
      <c r="B35" s="90" t="s">
        <v>9</v>
      </c>
      <c r="C35" s="106">
        <v>8206064.25</v>
      </c>
      <c r="D35" s="106">
        <v>10560000</v>
      </c>
      <c r="E35" s="106">
        <v>0</v>
      </c>
      <c r="F35" s="106">
        <v>6500000</v>
      </c>
      <c r="G35" s="106">
        <v>1906035.3399999985</v>
      </c>
      <c r="H35" s="106">
        <v>19440000</v>
      </c>
      <c r="I35" s="106">
        <v>16000000</v>
      </c>
      <c r="J35" s="107">
        <f>SUM(C35:I35)</f>
        <v>62612099.590000004</v>
      </c>
      <c r="K35" s="105" t="s">
        <v>17</v>
      </c>
      <c r="L35" s="30">
        <v>62612099.590000004</v>
      </c>
      <c r="M35" s="30">
        <f>SUMPRODUCT(C35:I35,C9:I9,C12:I12)</f>
        <v>776939288.29363751</v>
      </c>
      <c r="N35" s="30">
        <f>IF(A5=1,M35*0.2,IF(A5=2,M35*0.35,IF(A5=3,M35*0.5,IF(A5=4,M35*0.65,IF(A5=5,M35*0.8,IF(A5=6,M35,0))))))</f>
        <v>155387857.6587275</v>
      </c>
    </row>
    <row r="36" spans="2:15" x14ac:dyDescent="0.25">
      <c r="B36" s="90" t="s">
        <v>10</v>
      </c>
      <c r="C36" s="106">
        <v>0</v>
      </c>
      <c r="D36" s="106">
        <v>0</v>
      </c>
      <c r="E36" s="106">
        <v>6750000</v>
      </c>
      <c r="F36" s="106">
        <v>0</v>
      </c>
      <c r="G36" s="106">
        <v>21853964.66</v>
      </c>
      <c r="H36" s="106">
        <v>0</v>
      </c>
      <c r="I36" s="106">
        <v>0</v>
      </c>
      <c r="J36" s="107">
        <f t="shared" ref="J36:J37" si="1">SUM(C36:I36)</f>
        <v>28603964.66</v>
      </c>
      <c r="K36" s="105" t="s">
        <v>17</v>
      </c>
      <c r="L36" s="30">
        <v>28603964.66</v>
      </c>
      <c r="M36" s="30">
        <f t="shared" ref="M36:M37" si="2">SUMPRODUCT(C36:I36,C10:I10,C13:I13)</f>
        <v>483853526.76814532</v>
      </c>
      <c r="N36" s="30">
        <f>IF(B5=1,M36*0.2,IF(B5=2,M36*0.35,IF(B5=3,M36*0.5,IF(B5=4,M36*0.65,IF(B5=5,M36*0.8,IF(B5=6,M36,0))))))</f>
        <v>0</v>
      </c>
    </row>
    <row r="37" spans="2:15" x14ac:dyDescent="0.25">
      <c r="B37" s="90" t="s">
        <v>11</v>
      </c>
      <c r="C37" s="106">
        <v>4123935.7500000009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6">
        <v>0</v>
      </c>
      <c r="J37" s="111">
        <f t="shared" si="1"/>
        <v>4123935.7500000009</v>
      </c>
      <c r="K37" s="105" t="s">
        <v>17</v>
      </c>
      <c r="L37" s="30">
        <v>21295352.879999999</v>
      </c>
      <c r="M37" s="30">
        <f t="shared" si="2"/>
        <v>9100703.915991826</v>
      </c>
      <c r="N37" s="30">
        <f>IF(C5=1,M37*0.2,IF(C5=2,M37*0.35,IF(C5=3,M37*0.5,IF(C5=4,M37*0.65,IF(C5=5,M37*0.8,IF(C5=6,M37,0))))))</f>
        <v>0</v>
      </c>
    </row>
    <row r="38" spans="2:15" x14ac:dyDescent="0.25">
      <c r="B38" s="108" t="s">
        <v>22</v>
      </c>
      <c r="C38" s="109">
        <f>SUM(C35:C37)</f>
        <v>12330000</v>
      </c>
      <c r="D38" s="109">
        <f t="shared" ref="D38:I38" si="3">SUM(D35:D37)</f>
        <v>10560000</v>
      </c>
      <c r="E38" s="109">
        <f t="shared" si="3"/>
        <v>6750000</v>
      </c>
      <c r="F38" s="109">
        <f t="shared" si="3"/>
        <v>6500000</v>
      </c>
      <c r="G38" s="109">
        <f t="shared" si="3"/>
        <v>23760000</v>
      </c>
      <c r="H38" s="109">
        <f t="shared" si="3"/>
        <v>19440000</v>
      </c>
      <c r="I38" s="110">
        <f t="shared" si="3"/>
        <v>16000000</v>
      </c>
      <c r="J38" s="30"/>
      <c r="K38" s="30"/>
      <c r="L38" s="30"/>
      <c r="M38" s="30"/>
      <c r="N38" s="30"/>
    </row>
    <row r="39" spans="2:15" x14ac:dyDescent="0.25">
      <c r="B39" s="90"/>
      <c r="C39" s="10" t="s">
        <v>17</v>
      </c>
      <c r="D39" s="10" t="s">
        <v>17</v>
      </c>
      <c r="E39" s="10" t="s">
        <v>17</v>
      </c>
      <c r="F39" s="10" t="s">
        <v>17</v>
      </c>
      <c r="G39" s="10" t="s">
        <v>17</v>
      </c>
      <c r="H39" s="10" t="s">
        <v>17</v>
      </c>
      <c r="I39" s="10" t="s">
        <v>17</v>
      </c>
    </row>
    <row r="40" spans="2:15" x14ac:dyDescent="0.25">
      <c r="B40" s="90" t="s">
        <v>23</v>
      </c>
      <c r="C40" s="9">
        <v>13700000</v>
      </c>
      <c r="D40" s="9">
        <v>12000000</v>
      </c>
      <c r="E40" s="9">
        <v>9000000</v>
      </c>
      <c r="F40" s="9">
        <v>6500000</v>
      </c>
      <c r="G40" s="9">
        <v>33000000</v>
      </c>
      <c r="H40" s="9">
        <v>27000000</v>
      </c>
      <c r="I40" s="9">
        <v>20000000</v>
      </c>
    </row>
    <row r="41" spans="2:15" x14ac:dyDescent="0.25">
      <c r="B41" s="90"/>
      <c r="C41" s="10" t="s">
        <v>24</v>
      </c>
      <c r="D41" s="10" t="s">
        <v>24</v>
      </c>
      <c r="E41" s="10" t="s">
        <v>24</v>
      </c>
      <c r="F41" s="10" t="s">
        <v>24</v>
      </c>
      <c r="G41" s="10" t="s">
        <v>24</v>
      </c>
      <c r="H41" s="10" t="s">
        <v>24</v>
      </c>
      <c r="I41" s="10" t="s">
        <v>24</v>
      </c>
    </row>
    <row r="42" spans="2:15" x14ac:dyDescent="0.25">
      <c r="B42" s="112" t="s">
        <v>16</v>
      </c>
      <c r="C42" s="113">
        <f>C40*0.9</f>
        <v>12330000</v>
      </c>
      <c r="D42" s="113">
        <f>D40*0.88</f>
        <v>10560000</v>
      </c>
      <c r="E42" s="113">
        <f>E40*0.75</f>
        <v>6750000</v>
      </c>
      <c r="F42" s="113">
        <f>F40</f>
        <v>6500000</v>
      </c>
      <c r="G42" s="113">
        <f>G40*0.72</f>
        <v>23760000</v>
      </c>
      <c r="H42" s="113">
        <f>H40*0.72</f>
        <v>19440000</v>
      </c>
      <c r="I42" s="114">
        <f>I40*0.8</f>
        <v>16000000</v>
      </c>
    </row>
    <row r="43" spans="2:15" x14ac:dyDescent="0.25">
      <c r="B43" s="6"/>
      <c r="M43" s="159">
        <f>SUM(M35:M37)</f>
        <v>1269893518.9777746</v>
      </c>
      <c r="N43" s="159">
        <f>SUM(N35:N37)</f>
        <v>155387857.6587275</v>
      </c>
    </row>
    <row r="44" spans="2:15" x14ac:dyDescent="0.25">
      <c r="B44" s="6"/>
    </row>
    <row r="45" spans="2:15" x14ac:dyDescent="0.25">
      <c r="B45" s="6"/>
      <c r="C45" s="13" t="s">
        <v>25</v>
      </c>
      <c r="D45" s="13"/>
      <c r="E45" s="14"/>
    </row>
    <row r="46" spans="2:15" x14ac:dyDescent="0.25">
      <c r="B46" s="89"/>
      <c r="C46" s="91" t="s">
        <v>19</v>
      </c>
      <c r="D46" s="91" t="s">
        <v>20</v>
      </c>
      <c r="E46" s="91" t="s">
        <v>3</v>
      </c>
      <c r="F46" s="91" t="s">
        <v>4</v>
      </c>
      <c r="G46" s="91" t="s">
        <v>5</v>
      </c>
      <c r="H46" s="91" t="s">
        <v>6</v>
      </c>
      <c r="I46" s="96" t="s">
        <v>7</v>
      </c>
    </row>
    <row r="47" spans="2:15" x14ac:dyDescent="0.25">
      <c r="B47" s="90" t="s">
        <v>9</v>
      </c>
      <c r="C47" s="10">
        <f>IF(A5=1,C35*0.2,IF(A5=2,C35*0.35,IF(A5=3,C35*0.5,IF(A5=4,C35*0.65,IF(A5=5,C35*0.8,IF(A5=6,C35*1,0))))))</f>
        <v>1641212.85</v>
      </c>
      <c r="D47" s="10">
        <f>IF(A5=1,D35*0.2,IF(A5=2,D35*0.35,IF(A5=3,D35*0.5,IF(A5=4,D35*0.65,IF(A5=5,D35*0.8,IF(A5=6,D35*1,0))))))</f>
        <v>2112000</v>
      </c>
      <c r="E47" s="10">
        <f>IF(A5=1,E35*0.2,IF(A5=2,E35*0.35,IF(A5=3,E35*0.5,IF(A5=4,E35*0.65,IF(A5=5,E35*0.8,IF(A5=6,E35*1,0))))))</f>
        <v>0</v>
      </c>
      <c r="F47" s="10">
        <f>IF(A5=1,F35*0.2,IF(A5=2,F35*0.35,IF(A5=3,F35*0.5,IF(A5=4,F35*0.65,IF(A5=5,F35*0.8,IF(A5=6,F35*1,0))))))</f>
        <v>1300000</v>
      </c>
      <c r="G47" s="10">
        <f>IF(A5=1,G35*0.2,IF(A5=2,G35*0.35,IF(A5=3,G35*0.5,IF(A5=4,G35*0.65,IF(A5=5,G35*0.8,IF(A5=6,G35*1,0))))))</f>
        <v>381207.06799999974</v>
      </c>
      <c r="H47" s="10">
        <f>IF(A5=1,H35*0.2,IF(A5=2,H35*0.35,IF(A5=3,H35*0.5,IF(A5=4,H35*0.65,IF(A5=5,H35*0.8,IF(A5=6,H35*1,0))))))</f>
        <v>3888000</v>
      </c>
      <c r="I47" s="10">
        <f>IF(A5=1,I35*0.2,IF(A5=2,I35*0.35,IF(A5=3,I35*0.5,IF(A5=4,I35*0.65,IF(A5=5,I35*0.8,IF(A5=6,I35*1,0))))))</f>
        <v>3200000</v>
      </c>
    </row>
    <row r="48" spans="2:15" x14ac:dyDescent="0.25">
      <c r="B48" s="90" t="s">
        <v>10</v>
      </c>
      <c r="C48" s="10">
        <f>IF(B5=1,C36*0.2,IF(B5=2,C36*0.35,IF(B5=3,C36*0.5,IF(B5=4,C36*0.65,IF(B5=5,C36*0.8,IF(B5=6,C36*1,0))))))</f>
        <v>0</v>
      </c>
      <c r="D48" s="10">
        <f>IF(B5=1,D36*0.2,IF(B5=2,D36*0.35,IF(B5=3,D36*0.5,IF(B5=4,D36*0.65,IF(B5=5,D36*0.8,IF(B5=6,D36*1,0))))))</f>
        <v>0</v>
      </c>
      <c r="E48" s="10">
        <f>IF(B5=1,E36*0.2,IF(B5=2,E36*0.35,IF(B5=3,E36*0.5,IF(B5=4,E36*0.65,IF(B5=5,E36*0.8,IF(B5=6,E36*1,0))))))</f>
        <v>0</v>
      </c>
      <c r="F48" s="10">
        <f>IF(B5=1,F36*0.2,IF(B5=2,F36*0.35,IF(B5=3,F36*0.5,IF(B5=4,F36*0.65,IF(B5=5,F36*0.8,IF(B5=6,F36*1,0))))))</f>
        <v>0</v>
      </c>
      <c r="G48" s="10">
        <f>IF(B5=1,G36*0.2,IF(B5=2,G36*0.35,IF(B5=3,G36*0.5,IF(B5=4,G36*0.65,IF(B5=5,G36*0.8,IF(B5=6,G36*1,0))))))</f>
        <v>0</v>
      </c>
      <c r="H48" s="10">
        <f>IF(B5=1,H36*0.2,IF(B5=2,H36*0.35,IF(B5=3,H36*0.5,IF(B5=4,H36*0.65,IF(B5=5,H36*0.8,IF(B5=6,H36*1,0))))))</f>
        <v>0</v>
      </c>
      <c r="I48" s="10">
        <f>IF(B5=1,I36*0.2,IF(B5=2,I36*0.35,IF(B5=3,I36*0.5,IF(B5=4,I36*0.65,IF(B5=5,I36*0.8,IF(B5=6,I36*1,0))))))</f>
        <v>0</v>
      </c>
    </row>
    <row r="49" spans="2:14" x14ac:dyDescent="0.25">
      <c r="B49" s="90" t="s">
        <v>11</v>
      </c>
      <c r="C49" s="10">
        <f>IF(C5=1,C37*0.2,IF(C5=2,C37*0.35,IF(C5=3,C37*0.5,IF(C5=4,C37*0.65,IF(C5=5,C37*0.8,IF(C5=6,C37*1,0))))))</f>
        <v>0</v>
      </c>
      <c r="D49" s="10">
        <f>IF(C5=1,D37*0.2,IF(C5=2,D37*0.35,IF(C5=3,D37*0.5,IF(C5=4,D37*0.65,IF(C5=5,D37*0,IF(C5=6,D37*1,0))))))</f>
        <v>0</v>
      </c>
      <c r="E49" s="10">
        <f>IF(C5=1,E37*0.2,IF(C5=2,E37*0.35,IF(C5=3,E37*0.5,IF(C5=4,E37*0.65,IF(C5=5,E37*0,IF(C5=6,E37*1,0))))))</f>
        <v>0</v>
      </c>
      <c r="F49" s="10">
        <f>IF(C5=1,F37*0.2,IF(C5=2,F37*0.35,IF(C5=3,F37*0.5,IF(C5=4,F37*0.65,IF(C5=5,F37*0,IF(C5=6,F37*1,0))))))</f>
        <v>0</v>
      </c>
      <c r="G49" s="10">
        <f>IF(C5=1,G37*0.2,IF(C5=2,G37*0.35,IF(C5=3,G37*0.5,IF(C5=4,G37*0.65,IF(C5=5,G37*0,IF(C5=6,G37*1,0))))))</f>
        <v>0</v>
      </c>
      <c r="H49" s="10">
        <f>IF(C5=1,H37*0.2,IF(C5=2,H37*0.35,IF(C5=3,H37*0.5,IF(C5=4,H37*0.65,IF(C5=5,H37*0,IF(C5=6,H37*1,0))))))</f>
        <v>0</v>
      </c>
      <c r="I49" s="10">
        <f>IF(C5=1,I37*0.2,IF(C5=2,I37*0.35,IF(C5=3,I37*0.5,IF(C5=4,I37*0.65,IF(C5=5,I37*0,IF(C5=6,I37*1,0))))))</f>
        <v>0</v>
      </c>
    </row>
    <row r="50" spans="2:14" x14ac:dyDescent="0.25">
      <c r="B50" s="95" t="s">
        <v>22</v>
      </c>
      <c r="C50" s="85">
        <f>SUM(C47:C49)</f>
        <v>1641212.85</v>
      </c>
      <c r="D50" s="85">
        <f t="shared" ref="D50:I50" si="4">SUM(D47:D49)</f>
        <v>2112000</v>
      </c>
      <c r="E50" s="85">
        <f t="shared" si="4"/>
        <v>0</v>
      </c>
      <c r="F50" s="85">
        <f t="shared" si="4"/>
        <v>1300000</v>
      </c>
      <c r="G50" s="85">
        <f t="shared" si="4"/>
        <v>381207.06799999974</v>
      </c>
      <c r="H50" s="85">
        <f t="shared" si="4"/>
        <v>3888000</v>
      </c>
      <c r="I50" s="86">
        <f t="shared" si="4"/>
        <v>3200000</v>
      </c>
    </row>
    <row r="52" spans="2:14" x14ac:dyDescent="0.25">
      <c r="C52" s="161" t="s">
        <v>26</v>
      </c>
      <c r="D52" s="161"/>
    </row>
    <row r="53" spans="2:14" x14ac:dyDescent="0.25">
      <c r="B53" s="101" t="s">
        <v>27</v>
      </c>
      <c r="C53" s="97">
        <f>C50</f>
        <v>1641212.85</v>
      </c>
      <c r="D53" s="97">
        <f t="shared" ref="D53:I53" si="5">D50</f>
        <v>2112000</v>
      </c>
      <c r="E53" s="97">
        <f t="shared" si="5"/>
        <v>0</v>
      </c>
      <c r="F53" s="97">
        <f t="shared" si="5"/>
        <v>1300000</v>
      </c>
      <c r="G53" s="97">
        <f t="shared" si="5"/>
        <v>381207.06799999974</v>
      </c>
      <c r="H53" s="97">
        <f t="shared" si="5"/>
        <v>3888000</v>
      </c>
      <c r="I53" s="98">
        <f t="shared" si="5"/>
        <v>3200000</v>
      </c>
    </row>
    <row r="54" spans="2:14" x14ac:dyDescent="0.25">
      <c r="B54" s="102" t="s">
        <v>28</v>
      </c>
      <c r="C54" s="99">
        <f>(C19+C20*C47)*C21+(C22+C23*C48)*C24+(C25+C26*C49)*C27</f>
        <v>34877348.560279384</v>
      </c>
      <c r="D54" s="99">
        <f t="shared" ref="D54:I54" si="6">(D19+D20*D47)*D21+(D22+D23*D48)*D24+(D25+D26*D49)*D27</f>
        <v>42194349.54701928</v>
      </c>
      <c r="E54" s="99">
        <f t="shared" si="6"/>
        <v>15.161494774255285</v>
      </c>
      <c r="F54" s="99">
        <f t="shared" si="6"/>
        <v>17690491.505834691</v>
      </c>
      <c r="G54" s="99">
        <f t="shared" si="6"/>
        <v>12149192.941031719</v>
      </c>
      <c r="H54" s="99">
        <f t="shared" si="6"/>
        <v>84991300.178955361</v>
      </c>
      <c r="I54" s="100">
        <f t="shared" si="6"/>
        <v>67406539.948674604</v>
      </c>
      <c r="N54" s="159">
        <f>SUM(C54:I54)</f>
        <v>259309237.84328985</v>
      </c>
    </row>
    <row r="56" spans="2:14" x14ac:dyDescent="0.25">
      <c r="C56" s="10">
        <f>C47*C21+C48*C24+C49*C27</f>
        <v>1641212.85</v>
      </c>
      <c r="D56" s="10">
        <f t="shared" ref="D56:I56" si="7">D47*D21+D48*D24+D49*D27</f>
        <v>2112000</v>
      </c>
      <c r="E56" s="10">
        <f t="shared" si="7"/>
        <v>0</v>
      </c>
      <c r="F56" s="10">
        <f t="shared" si="7"/>
        <v>1300000</v>
      </c>
      <c r="G56" s="10">
        <f t="shared" si="7"/>
        <v>381207.06799999974</v>
      </c>
      <c r="H56" s="10">
        <f t="shared" si="7"/>
        <v>3888000</v>
      </c>
      <c r="I56" s="10">
        <f t="shared" si="7"/>
        <v>3200000</v>
      </c>
    </row>
    <row r="57" spans="2:14" x14ac:dyDescent="0.25">
      <c r="C57" s="10" t="s">
        <v>17</v>
      </c>
      <c r="D57" s="10" t="s">
        <v>17</v>
      </c>
      <c r="E57" s="10" t="s">
        <v>17</v>
      </c>
      <c r="F57" s="10" t="s">
        <v>17</v>
      </c>
      <c r="G57" s="10" t="s">
        <v>17</v>
      </c>
      <c r="H57" s="10" t="s">
        <v>17</v>
      </c>
      <c r="I57" s="10" t="s">
        <v>17</v>
      </c>
    </row>
    <row r="58" spans="2:14" x14ac:dyDescent="0.25">
      <c r="C58" s="10">
        <f>C40</f>
        <v>13700000</v>
      </c>
      <c r="D58" s="10">
        <f t="shared" ref="D58:I58" si="8">D40</f>
        <v>12000000</v>
      </c>
      <c r="E58" s="10">
        <f t="shared" si="8"/>
        <v>9000000</v>
      </c>
      <c r="F58" s="10">
        <f t="shared" si="8"/>
        <v>6500000</v>
      </c>
      <c r="G58" s="10">
        <f t="shared" si="8"/>
        <v>33000000</v>
      </c>
      <c r="H58" s="10">
        <f t="shared" si="8"/>
        <v>27000000</v>
      </c>
      <c r="I58" s="10">
        <f t="shared" si="8"/>
        <v>20000000</v>
      </c>
    </row>
  </sheetData>
  <mergeCells count="9">
    <mergeCell ref="C33:D33"/>
    <mergeCell ref="C52:D52"/>
    <mergeCell ref="C2:D2"/>
    <mergeCell ref="A9:A11"/>
    <mergeCell ref="A12:A14"/>
    <mergeCell ref="C17:D17"/>
    <mergeCell ref="A19:A21"/>
    <mergeCell ref="A22:A24"/>
    <mergeCell ref="A25:A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83"/>
  <sheetViews>
    <sheetView workbookViewId="0">
      <selection activeCell="O10" sqref="O10"/>
    </sheetView>
  </sheetViews>
  <sheetFormatPr defaultRowHeight="15" x14ac:dyDescent="0.25"/>
  <cols>
    <col min="5" max="5" width="11.42578125" customWidth="1"/>
    <col min="7" max="7" width="11.5703125" customWidth="1"/>
    <col min="9" max="9" width="10.42578125" customWidth="1"/>
    <col min="11" max="11" width="11.42578125" customWidth="1"/>
  </cols>
  <sheetData>
    <row r="2" spans="2:28" ht="60" x14ac:dyDescent="0.25">
      <c r="C2" s="80" t="s">
        <v>48</v>
      </c>
      <c r="D2" s="81" t="s">
        <v>49</v>
      </c>
      <c r="F2" s="9">
        <v>13.7</v>
      </c>
      <c r="G2" s="9">
        <v>12</v>
      </c>
      <c r="H2" s="9">
        <v>9</v>
      </c>
      <c r="I2" s="9">
        <v>6.5</v>
      </c>
      <c r="J2" s="9">
        <v>33</v>
      </c>
      <c r="K2" s="9">
        <v>27</v>
      </c>
      <c r="L2" s="9">
        <v>20</v>
      </c>
    </row>
    <row r="3" spans="2:28" x14ac:dyDescent="0.25">
      <c r="C3" s="78"/>
      <c r="D3" s="79"/>
      <c r="F3" s="48" t="s">
        <v>1</v>
      </c>
      <c r="G3" s="48" t="s">
        <v>2</v>
      </c>
      <c r="H3" s="48" t="s">
        <v>3</v>
      </c>
      <c r="I3" s="48" t="s">
        <v>4</v>
      </c>
      <c r="J3" s="48" t="s">
        <v>5</v>
      </c>
      <c r="K3" s="48" t="s">
        <v>6</v>
      </c>
      <c r="L3" s="48" t="s">
        <v>7</v>
      </c>
    </row>
    <row r="4" spans="2:28" ht="15" customHeight="1" x14ac:dyDescent="0.25">
      <c r="B4" s="171" t="s">
        <v>9</v>
      </c>
      <c r="C4" s="169">
        <v>8.625</v>
      </c>
      <c r="D4" s="166" t="s">
        <v>46</v>
      </c>
      <c r="E4" s="1" t="s">
        <v>13</v>
      </c>
      <c r="F4" s="2">
        <v>20.29527632445599</v>
      </c>
      <c r="G4" s="2">
        <v>18.951868467819107</v>
      </c>
      <c r="H4" s="2">
        <v>15.161494774255285</v>
      </c>
      <c r="I4" s="2">
        <v>9.6934146917369866</v>
      </c>
      <c r="J4" s="2">
        <v>44.521356580958653</v>
      </c>
      <c r="K4" s="2">
        <v>36.679632644438094</v>
      </c>
      <c r="L4" s="2">
        <v>25.476903575378728</v>
      </c>
      <c r="N4" s="148"/>
      <c r="O4" s="148" t="s">
        <v>82</v>
      </c>
      <c r="P4" s="148"/>
      <c r="Q4" s="148"/>
      <c r="R4" s="148"/>
    </row>
    <row r="5" spans="2:28" x14ac:dyDescent="0.25">
      <c r="B5" s="171"/>
      <c r="C5" s="170"/>
      <c r="D5" s="167"/>
      <c r="E5" s="1" t="s">
        <v>14</v>
      </c>
      <c r="F5" s="1">
        <v>21.250947593423401</v>
      </c>
      <c r="G5" s="1">
        <v>19.978376228764589</v>
      </c>
      <c r="H5" s="1">
        <v>18.019809362844398</v>
      </c>
      <c r="I5" s="1">
        <v>13.608062932630769</v>
      </c>
      <c r="J5" s="1">
        <v>31.870207662768589</v>
      </c>
      <c r="K5" s="1">
        <v>21.859892875340204</v>
      </c>
      <c r="L5" s="1">
        <v>21.064535772428449</v>
      </c>
    </row>
    <row r="6" spans="2:28" x14ac:dyDescent="0.25">
      <c r="B6" s="171"/>
      <c r="C6" s="170"/>
      <c r="D6" s="166" t="s">
        <v>47</v>
      </c>
      <c r="E6" s="1" t="s">
        <v>13</v>
      </c>
      <c r="F6" s="2">
        <v>20.29527632445599</v>
      </c>
      <c r="G6" s="2">
        <v>18.951868467819107</v>
      </c>
      <c r="H6" s="2">
        <v>15.161494774255285</v>
      </c>
      <c r="I6" s="2">
        <v>9.6934146917369866</v>
      </c>
      <c r="J6" s="2">
        <v>44.521356580958653</v>
      </c>
      <c r="K6" s="2">
        <v>36.679632644438094</v>
      </c>
      <c r="L6" s="2">
        <v>25.476903575378728</v>
      </c>
      <c r="N6" s="84" t="s">
        <v>50</v>
      </c>
      <c r="O6" s="84"/>
      <c r="P6" s="84"/>
      <c r="Q6" s="84"/>
      <c r="R6" s="84"/>
      <c r="S6" s="83"/>
      <c r="T6" s="83"/>
      <c r="U6" s="83"/>
      <c r="V6" s="83"/>
      <c r="W6" s="83"/>
      <c r="X6" s="83"/>
    </row>
    <row r="7" spans="2:28" x14ac:dyDescent="0.25">
      <c r="B7" s="171"/>
      <c r="C7" s="170"/>
      <c r="D7" s="167"/>
      <c r="E7" s="1" t="s">
        <v>14</v>
      </c>
      <c r="F7" s="66">
        <v>25.501137112108072</v>
      </c>
      <c r="G7" s="66">
        <v>23.390955298445327</v>
      </c>
      <c r="H7" s="66">
        <v>19.293623472976499</v>
      </c>
      <c r="I7" s="66">
        <v>14.415847490275517</v>
      </c>
      <c r="J7" s="66">
        <v>3.7344501472653389</v>
      </c>
      <c r="K7" s="66">
        <v>24.798985919693788</v>
      </c>
      <c r="L7" s="66">
        <v>23.984987634682543</v>
      </c>
      <c r="N7" s="84" t="s">
        <v>51</v>
      </c>
      <c r="O7" s="84"/>
      <c r="P7" s="84"/>
      <c r="Q7" s="84"/>
      <c r="R7" s="84"/>
    </row>
    <row r="8" spans="2:28" x14ac:dyDescent="0.25">
      <c r="B8" s="171"/>
      <c r="C8" s="170"/>
      <c r="D8" s="64"/>
      <c r="E8" s="65" t="s">
        <v>15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</row>
    <row r="9" spans="2:28" ht="15" customHeight="1" x14ac:dyDescent="0.25">
      <c r="B9" s="171"/>
      <c r="C9" s="169">
        <v>10.5</v>
      </c>
      <c r="D9" s="166" t="s">
        <v>46</v>
      </c>
      <c r="E9" s="1" t="s">
        <v>13</v>
      </c>
      <c r="F9" s="3">
        <v>25.369095405569986</v>
      </c>
      <c r="G9" s="3">
        <v>23.689835584773885</v>
      </c>
      <c r="H9" s="3">
        <v>18.951868467819107</v>
      </c>
      <c r="I9" s="3">
        <v>12.116768364671232</v>
      </c>
      <c r="J9" s="3">
        <v>55.651695726198319</v>
      </c>
      <c r="K9" s="3">
        <v>45.849540805547619</v>
      </c>
      <c r="L9" s="3">
        <v>31.84612946922341</v>
      </c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2:28" x14ac:dyDescent="0.25">
      <c r="B10" s="171"/>
      <c r="C10" s="170"/>
      <c r="D10" s="167"/>
      <c r="E10" s="1" t="s">
        <v>14</v>
      </c>
      <c r="F10" s="1">
        <v>25.076118160239602</v>
      </c>
      <c r="G10" s="1">
        <v>23.574483949942213</v>
      </c>
      <c r="H10" s="1">
        <v>21.263375048156387</v>
      </c>
      <c r="I10" s="1">
        <v>16.057514260504306</v>
      </c>
      <c r="J10" s="1">
        <v>37.606845042066936</v>
      </c>
      <c r="K10" s="1">
        <v>25.794673592901436</v>
      </c>
      <c r="L10" s="1">
        <v>24.85615221146557</v>
      </c>
      <c r="N10" s="32"/>
      <c r="O10" s="55"/>
      <c r="P10" s="32"/>
      <c r="Q10" s="149"/>
      <c r="R10" s="149"/>
      <c r="S10" s="32"/>
      <c r="T10" s="55"/>
      <c r="U10" s="32"/>
      <c r="V10" s="149"/>
      <c r="W10" s="149"/>
      <c r="X10" s="32"/>
      <c r="Y10" s="55"/>
      <c r="Z10" s="32"/>
      <c r="AA10" s="149"/>
      <c r="AB10" s="149"/>
    </row>
    <row r="11" spans="2:28" x14ac:dyDescent="0.25">
      <c r="B11" s="171"/>
      <c r="C11" s="170"/>
      <c r="D11" s="166" t="s">
        <v>47</v>
      </c>
      <c r="E11" s="1" t="s">
        <v>13</v>
      </c>
      <c r="F11" s="3">
        <v>25.369095405569986</v>
      </c>
      <c r="G11" s="3">
        <v>23.689835584773885</v>
      </c>
      <c r="H11" s="3">
        <v>18.951868467819107</v>
      </c>
      <c r="I11" s="3">
        <v>12.116768364671232</v>
      </c>
      <c r="J11" s="3">
        <v>55.651695726198319</v>
      </c>
      <c r="K11" s="3">
        <v>45.849540805547619</v>
      </c>
      <c r="L11" s="3">
        <v>31.84612946922341</v>
      </c>
      <c r="N11" s="32"/>
      <c r="O11" s="55"/>
      <c r="P11" s="32"/>
      <c r="Q11" s="149"/>
      <c r="R11" s="149"/>
      <c r="S11" s="32"/>
      <c r="T11" s="55"/>
      <c r="U11" s="32"/>
      <c r="V11" s="149"/>
      <c r="W11" s="149"/>
      <c r="X11" s="32"/>
      <c r="Y11" s="55"/>
      <c r="Z11" s="32"/>
      <c r="AA11" s="149"/>
      <c r="AB11" s="149"/>
    </row>
    <row r="12" spans="2:28" x14ac:dyDescent="0.25">
      <c r="B12" s="171"/>
      <c r="C12" s="170"/>
      <c r="D12" s="167"/>
      <c r="E12" s="1" t="s">
        <v>14</v>
      </c>
      <c r="F12" s="66">
        <v>33.916512359103734</v>
      </c>
      <c r="G12" s="66">
        <v>31.109970546932288</v>
      </c>
      <c r="H12" s="66">
        <v>25.660519219058745</v>
      </c>
      <c r="I12" s="66">
        <v>19.173077162066438</v>
      </c>
      <c r="J12" s="66">
        <v>49.668186958629008</v>
      </c>
      <c r="K12" s="66">
        <v>32.982651273192744</v>
      </c>
      <c r="L12" s="66">
        <v>31.900033554127781</v>
      </c>
      <c r="N12" s="32"/>
      <c r="O12" s="55"/>
      <c r="P12" s="32"/>
      <c r="Q12" s="149"/>
      <c r="R12" s="149"/>
      <c r="S12" s="32"/>
      <c r="T12" s="55"/>
      <c r="U12" s="32"/>
      <c r="V12" s="149"/>
      <c r="W12" s="149"/>
      <c r="X12" s="32"/>
      <c r="Y12" s="55"/>
      <c r="Z12" s="32"/>
      <c r="AA12" s="149"/>
      <c r="AB12" s="149"/>
    </row>
    <row r="13" spans="2:28" x14ac:dyDescent="0.25">
      <c r="B13" s="171"/>
      <c r="C13" s="170"/>
      <c r="D13" s="64"/>
      <c r="E13" s="65" t="s">
        <v>15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N13" s="32"/>
      <c r="O13" s="55"/>
      <c r="P13" s="32"/>
      <c r="Q13" s="149"/>
      <c r="R13" s="149"/>
      <c r="S13" s="32"/>
      <c r="T13" s="55"/>
      <c r="U13" s="32"/>
      <c r="V13" s="149"/>
      <c r="W13" s="149"/>
      <c r="X13" s="32"/>
      <c r="Y13" s="55"/>
      <c r="Z13" s="32"/>
      <c r="AA13" s="149"/>
      <c r="AB13" s="149"/>
    </row>
    <row r="14" spans="2:28" x14ac:dyDescent="0.25">
      <c r="B14" s="171"/>
      <c r="C14" s="169">
        <v>12.333333333333334</v>
      </c>
      <c r="D14" s="166" t="s">
        <v>46</v>
      </c>
      <c r="E14" s="1" t="s">
        <v>13</v>
      </c>
      <c r="F14" s="3">
        <v>28.007481327749264</v>
      </c>
      <c r="G14" s="3">
        <v>26.153578485590369</v>
      </c>
      <c r="H14" s="3">
        <v>20.922862788472294</v>
      </c>
      <c r="I14" s="3">
        <v>13.376912274597041</v>
      </c>
      <c r="J14" s="3">
        <v>61.43947208172294</v>
      </c>
      <c r="K14" s="3">
        <v>50.617893049324564</v>
      </c>
      <c r="L14" s="3">
        <v>35.15812693402264</v>
      </c>
      <c r="N14" s="32"/>
      <c r="O14" s="55"/>
      <c r="P14" s="32"/>
      <c r="Q14" s="149"/>
      <c r="R14" s="149"/>
      <c r="S14" s="32"/>
      <c r="T14" s="55"/>
      <c r="U14" s="32"/>
      <c r="V14" s="149"/>
      <c r="W14" s="149"/>
      <c r="X14" s="32"/>
      <c r="Y14" s="55"/>
      <c r="Z14" s="32"/>
      <c r="AA14" s="149"/>
      <c r="AB14" s="149"/>
    </row>
    <row r="15" spans="2:28" x14ac:dyDescent="0.25">
      <c r="B15" s="171"/>
      <c r="C15" s="170"/>
      <c r="D15" s="167"/>
      <c r="E15" s="1" t="s">
        <v>14</v>
      </c>
      <c r="F15" s="1">
        <v>25.926156063976538</v>
      </c>
      <c r="G15" s="1">
        <v>24.373618999092798</v>
      </c>
      <c r="H15" s="1">
        <v>21.984167422670165</v>
      </c>
      <c r="I15" s="1">
        <v>16.601836777809538</v>
      </c>
      <c r="J15" s="1">
        <v>38.881653348577679</v>
      </c>
      <c r="K15" s="1">
        <v>26.669069307915045</v>
      </c>
      <c r="L15" s="1">
        <v>25.698733642362708</v>
      </c>
      <c r="N15" s="32"/>
      <c r="O15" s="55"/>
      <c r="P15" s="32"/>
      <c r="Q15" s="149"/>
      <c r="R15" s="149"/>
      <c r="S15" s="32"/>
      <c r="T15" s="55"/>
      <c r="U15" s="32"/>
      <c r="V15" s="149"/>
      <c r="W15" s="149"/>
      <c r="X15" s="32"/>
      <c r="Y15" s="55"/>
      <c r="Z15" s="32"/>
      <c r="AA15" s="149"/>
      <c r="AB15" s="149"/>
    </row>
    <row r="16" spans="2:28" x14ac:dyDescent="0.25">
      <c r="B16" s="171"/>
      <c r="C16" s="170"/>
      <c r="D16" s="166" t="s">
        <v>47</v>
      </c>
      <c r="E16" s="1" t="s">
        <v>13</v>
      </c>
      <c r="F16" s="3">
        <v>28.007481327749264</v>
      </c>
      <c r="G16" s="3">
        <v>26.153578485590369</v>
      </c>
      <c r="H16" s="3">
        <v>20.922862788472294</v>
      </c>
      <c r="I16" s="3">
        <v>13.376912274597041</v>
      </c>
      <c r="J16" s="3">
        <v>61.43947208172294</v>
      </c>
      <c r="K16" s="3">
        <v>50.617893049324564</v>
      </c>
      <c r="L16" s="3">
        <v>35.15812693402264</v>
      </c>
      <c r="N16" s="32"/>
      <c r="O16" s="55"/>
      <c r="P16" s="32"/>
      <c r="Q16" s="149"/>
      <c r="R16" s="149"/>
      <c r="S16" s="32"/>
      <c r="T16" s="55"/>
      <c r="U16" s="32"/>
      <c r="V16" s="149"/>
      <c r="W16" s="149"/>
      <c r="X16" s="32"/>
      <c r="Y16" s="55"/>
      <c r="Z16" s="32"/>
      <c r="AA16" s="149"/>
      <c r="AB16" s="149"/>
    </row>
    <row r="17" spans="2:28" x14ac:dyDescent="0.25">
      <c r="B17" s="171"/>
      <c r="C17" s="170"/>
      <c r="D17" s="167"/>
      <c r="E17" s="1" t="s">
        <v>14</v>
      </c>
      <c r="F17" s="66">
        <v>35.701591956951297</v>
      </c>
      <c r="G17" s="66">
        <v>32.747337417823459</v>
      </c>
      <c r="H17" s="66">
        <v>27.011072862167101</v>
      </c>
      <c r="I17" s="66">
        <v>20.182186486385721</v>
      </c>
      <c r="J17" s="66">
        <v>52.282302061714745</v>
      </c>
      <c r="K17" s="66">
        <v>34.718580287571307</v>
      </c>
      <c r="L17" s="66">
        <v>33.578982688555556</v>
      </c>
      <c r="N17" s="32"/>
      <c r="O17" s="55"/>
      <c r="P17" s="32"/>
      <c r="Q17" s="149"/>
      <c r="R17" s="149"/>
      <c r="S17" s="32"/>
      <c r="T17" s="55"/>
      <c r="U17" s="32"/>
      <c r="V17" s="149"/>
      <c r="W17" s="149"/>
      <c r="X17" s="72"/>
      <c r="Y17" s="72"/>
      <c r="Z17" s="72"/>
      <c r="AA17" s="72"/>
      <c r="AB17" s="72"/>
    </row>
    <row r="18" spans="2:28" x14ac:dyDescent="0.25">
      <c r="B18" s="171"/>
      <c r="C18" s="170"/>
      <c r="D18" s="64"/>
      <c r="E18" s="65" t="s">
        <v>15</v>
      </c>
      <c r="F18" s="67"/>
      <c r="G18" s="67"/>
      <c r="H18" s="67"/>
      <c r="I18" s="67"/>
      <c r="J18" s="67"/>
      <c r="K18" s="67"/>
      <c r="L18" s="67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</row>
    <row r="19" spans="2:28" x14ac:dyDescent="0.25">
      <c r="B19" s="74"/>
      <c r="C19" s="74"/>
      <c r="D19" s="76"/>
      <c r="E19" s="55"/>
      <c r="F19" s="32"/>
      <c r="G19" s="32"/>
      <c r="H19" s="32"/>
      <c r="I19" s="32"/>
      <c r="J19" s="32"/>
      <c r="K19" s="32"/>
      <c r="L19" s="3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</row>
    <row r="20" spans="2:28" x14ac:dyDescent="0.25">
      <c r="B20" s="74"/>
      <c r="C20" s="74"/>
      <c r="D20" s="77"/>
      <c r="E20" s="55"/>
      <c r="F20" s="55"/>
      <c r="G20" s="55"/>
      <c r="H20" s="55"/>
      <c r="I20" s="55"/>
      <c r="J20" s="55"/>
      <c r="K20" s="55"/>
      <c r="L20" s="55"/>
      <c r="N20" s="22"/>
      <c r="O20" s="22"/>
      <c r="P20" s="22"/>
      <c r="Q20" s="22"/>
      <c r="R20" s="22"/>
      <c r="S20" s="22"/>
      <c r="T20" s="22"/>
    </row>
    <row r="21" spans="2:28" x14ac:dyDescent="0.25">
      <c r="B21" s="75"/>
      <c r="C21" s="75"/>
      <c r="D21" s="75"/>
      <c r="E21" s="75"/>
      <c r="F21" s="75"/>
      <c r="G21" s="32"/>
      <c r="H21" s="32"/>
      <c r="I21" s="32"/>
      <c r="J21" s="32"/>
      <c r="K21" s="32"/>
      <c r="L21" s="32"/>
      <c r="N21" s="22"/>
      <c r="O21" s="22"/>
      <c r="P21" s="22"/>
      <c r="Q21" s="22"/>
      <c r="R21" s="22"/>
      <c r="S21" s="22"/>
      <c r="T21" s="22"/>
    </row>
    <row r="22" spans="2:28" x14ac:dyDescent="0.25">
      <c r="F22" s="48"/>
      <c r="G22" s="48"/>
      <c r="H22" s="48"/>
      <c r="I22" s="48"/>
      <c r="J22" s="48"/>
      <c r="K22" s="48"/>
      <c r="L22" s="48"/>
      <c r="N22" s="22"/>
      <c r="O22" s="22"/>
      <c r="P22" s="22"/>
      <c r="Q22" s="22"/>
      <c r="R22" s="22"/>
      <c r="S22" s="22"/>
      <c r="T22" s="22"/>
    </row>
    <row r="23" spans="2:28" x14ac:dyDescent="0.25">
      <c r="B23" s="171" t="s">
        <v>10</v>
      </c>
      <c r="C23" s="169">
        <v>8.625</v>
      </c>
      <c r="D23" s="166" t="s">
        <v>46</v>
      </c>
      <c r="E23" s="1" t="s">
        <v>13</v>
      </c>
      <c r="F23" s="3">
        <v>20.606584065517541</v>
      </c>
      <c r="G23" s="3">
        <v>21.500118060819965</v>
      </c>
      <c r="H23" s="3">
        <v>14.912945679595364</v>
      </c>
      <c r="I23" s="3">
        <v>11.193408478009619</v>
      </c>
      <c r="J23" s="3">
        <v>62.41689139647309</v>
      </c>
      <c r="K23" s="3">
        <v>52.54638547479091</v>
      </c>
      <c r="L23" s="3">
        <v>40.673195222886406</v>
      </c>
      <c r="N23" s="22"/>
      <c r="O23" s="22"/>
      <c r="P23" s="22"/>
      <c r="Q23" s="22"/>
      <c r="R23" s="22"/>
      <c r="S23" s="22"/>
      <c r="T23" s="22"/>
    </row>
    <row r="24" spans="2:28" x14ac:dyDescent="0.25">
      <c r="B24" s="171"/>
      <c r="C24" s="170"/>
      <c r="D24" s="167"/>
      <c r="E24" s="1" t="s">
        <v>14</v>
      </c>
      <c r="F24" s="1">
        <v>19.890141300160316</v>
      </c>
      <c r="G24" s="1">
        <v>19.260690717934061</v>
      </c>
      <c r="H24" s="1">
        <v>17.101420458075982</v>
      </c>
      <c r="I24" s="1">
        <v>12.833832502765109</v>
      </c>
      <c r="J24" s="1">
        <v>42.396261821616314</v>
      </c>
      <c r="K24" s="1">
        <v>34.25255073508395</v>
      </c>
      <c r="L24" s="1">
        <v>27.623125007767161</v>
      </c>
      <c r="N24" s="22"/>
      <c r="O24" s="22"/>
      <c r="P24" s="22"/>
      <c r="Q24" s="22"/>
      <c r="R24" s="22"/>
      <c r="S24" s="22"/>
      <c r="T24" s="22"/>
    </row>
    <row r="25" spans="2:28" x14ac:dyDescent="0.25">
      <c r="B25" s="171"/>
      <c r="C25" s="170"/>
      <c r="D25" s="166" t="s">
        <v>47</v>
      </c>
      <c r="E25" s="1" t="s">
        <v>13</v>
      </c>
      <c r="F25" s="3">
        <v>20.606584065517541</v>
      </c>
      <c r="G25" s="3">
        <v>21.500118060819965</v>
      </c>
      <c r="H25" s="3">
        <v>14.912945679595364</v>
      </c>
      <c r="I25" s="3">
        <v>11.193408478009619</v>
      </c>
      <c r="J25" s="3">
        <v>62.41689139647309</v>
      </c>
      <c r="K25" s="3">
        <v>52.54638547479091</v>
      </c>
      <c r="L25" s="3">
        <v>40.673195222886406</v>
      </c>
      <c r="N25" s="22"/>
      <c r="O25" s="22"/>
      <c r="P25" s="22"/>
      <c r="Q25" s="22"/>
      <c r="R25" s="22"/>
      <c r="S25" s="22"/>
      <c r="T25" s="22"/>
    </row>
    <row r="26" spans="2:28" x14ac:dyDescent="0.25">
      <c r="B26" s="171"/>
      <c r="C26" s="170"/>
      <c r="D26" s="167"/>
      <c r="E26" s="1" t="s">
        <v>14</v>
      </c>
      <c r="F26" s="66">
        <v>22.493071693986355</v>
      </c>
      <c r="G26" s="66">
        <v>22.050654305491694</v>
      </c>
      <c r="H26" s="66">
        <v>18.30253395802006</v>
      </c>
      <c r="I26" s="66">
        <v>13.757813762163371</v>
      </c>
      <c r="J26" s="66">
        <v>46.802415897200099</v>
      </c>
      <c r="K26" s="66">
        <v>36.6609914623386</v>
      </c>
      <c r="L26" s="66">
        <v>33.064486062609518</v>
      </c>
      <c r="N26" s="22"/>
      <c r="O26" s="22"/>
      <c r="P26" s="22"/>
      <c r="Q26" s="22"/>
      <c r="R26" s="22"/>
      <c r="S26" s="22"/>
      <c r="T26" s="22"/>
    </row>
    <row r="27" spans="2:28" x14ac:dyDescent="0.25">
      <c r="B27" s="171"/>
      <c r="C27" s="170"/>
      <c r="D27" s="64"/>
      <c r="E27" s="65" t="s">
        <v>15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N27" s="22"/>
      <c r="O27" s="22"/>
      <c r="P27" s="22"/>
      <c r="Q27" s="22"/>
      <c r="R27" s="22"/>
      <c r="S27" s="22"/>
      <c r="T27" s="22"/>
    </row>
    <row r="28" spans="2:28" ht="15" customHeight="1" x14ac:dyDescent="0.25">
      <c r="B28" s="171"/>
      <c r="C28" s="169">
        <v>10.5</v>
      </c>
      <c r="D28" s="166" t="s">
        <v>46</v>
      </c>
      <c r="E28" s="1" t="s">
        <v>13</v>
      </c>
      <c r="F28" s="3">
        <v>25.758230081896929</v>
      </c>
      <c r="G28" s="3">
        <v>26.875147576024954</v>
      </c>
      <c r="H28" s="3">
        <v>18.641182099494202</v>
      </c>
      <c r="I28" s="3">
        <v>13.991760597512025</v>
      </c>
      <c r="J28" s="3">
        <v>78.021114245591363</v>
      </c>
      <c r="K28" s="3">
        <v>65.682981843488633</v>
      </c>
      <c r="L28" s="3">
        <v>50.841494028608004</v>
      </c>
      <c r="N28" s="22"/>
      <c r="O28" s="22"/>
      <c r="P28" s="22"/>
      <c r="Q28" s="22"/>
      <c r="R28" s="22"/>
      <c r="S28" s="22"/>
      <c r="T28" s="22"/>
    </row>
    <row r="29" spans="2:28" x14ac:dyDescent="0.25">
      <c r="B29" s="171"/>
      <c r="C29" s="170"/>
      <c r="D29" s="167"/>
      <c r="E29" s="1" t="s">
        <v>14</v>
      </c>
      <c r="F29" s="1">
        <v>23.47036673418917</v>
      </c>
      <c r="G29" s="1">
        <v>22.727615047162192</v>
      </c>
      <c r="H29" s="1">
        <v>20.179676140529658</v>
      </c>
      <c r="I29" s="1">
        <v>15.143922353262827</v>
      </c>
      <c r="J29" s="1">
        <v>50.027588949507248</v>
      </c>
      <c r="K29" s="1">
        <v>40.418009867399057</v>
      </c>
      <c r="L29" s="1">
        <v>32.595287509165246</v>
      </c>
      <c r="N29" s="22"/>
      <c r="O29" s="22"/>
      <c r="P29" s="22"/>
      <c r="Q29" s="22"/>
      <c r="R29" s="22"/>
      <c r="S29" s="22"/>
      <c r="T29" s="22"/>
    </row>
    <row r="30" spans="2:28" x14ac:dyDescent="0.25">
      <c r="B30" s="171"/>
      <c r="C30" s="170"/>
      <c r="D30" s="166" t="s">
        <v>47</v>
      </c>
      <c r="E30" s="1" t="s">
        <v>13</v>
      </c>
      <c r="F30" s="3">
        <v>25.758230081896929</v>
      </c>
      <c r="G30" s="3">
        <v>26.875147576024954</v>
      </c>
      <c r="H30" s="3">
        <v>18.641182099494202</v>
      </c>
      <c r="I30" s="3">
        <v>13.991760597512025</v>
      </c>
      <c r="J30" s="3">
        <v>78.021114245591363</v>
      </c>
      <c r="K30" s="3">
        <v>65.682981843488633</v>
      </c>
      <c r="L30" s="3">
        <v>50.841494028608004</v>
      </c>
      <c r="N30" s="22"/>
      <c r="O30" s="22"/>
      <c r="P30" s="22"/>
      <c r="Q30" s="22"/>
      <c r="R30" s="22"/>
      <c r="S30" s="22"/>
      <c r="T30" s="22"/>
    </row>
    <row r="31" spans="2:28" ht="15" customHeight="1" x14ac:dyDescent="0.25">
      <c r="B31" s="171"/>
      <c r="C31" s="170"/>
      <c r="D31" s="167"/>
      <c r="E31" s="1" t="s">
        <v>14</v>
      </c>
      <c r="F31" s="66">
        <v>29.915785353001855</v>
      </c>
      <c r="G31" s="66">
        <v>29.327370226303952</v>
      </c>
      <c r="H31" s="66">
        <v>24.342370164166677</v>
      </c>
      <c r="I31" s="66">
        <v>18.297892303677287</v>
      </c>
      <c r="J31" s="66">
        <v>62.247213143276134</v>
      </c>
      <c r="K31" s="66">
        <v>48.759118644910338</v>
      </c>
      <c r="L31" s="66">
        <v>43.975766463270666</v>
      </c>
      <c r="N31" s="22"/>
      <c r="O31" s="22"/>
      <c r="P31" s="22"/>
      <c r="Q31" s="22"/>
      <c r="R31" s="22"/>
      <c r="S31" s="22"/>
      <c r="T31" s="22"/>
    </row>
    <row r="32" spans="2:28" x14ac:dyDescent="0.25">
      <c r="B32" s="171"/>
      <c r="C32" s="170"/>
      <c r="D32" s="64"/>
      <c r="E32" s="65" t="s">
        <v>15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N32" s="22"/>
      <c r="O32" s="22"/>
      <c r="P32" s="22"/>
      <c r="Q32" s="22"/>
      <c r="R32" s="22"/>
      <c r="S32" s="22"/>
      <c r="T32" s="22"/>
    </row>
    <row r="33" spans="2:28" x14ac:dyDescent="0.25">
      <c r="B33" s="171"/>
      <c r="C33" s="169">
        <v>12.333333333333334</v>
      </c>
      <c r="D33" s="166" t="s">
        <v>46</v>
      </c>
      <c r="E33" s="1" t="s">
        <v>13</v>
      </c>
      <c r="F33" s="3">
        <v>28.437086010414205</v>
      </c>
      <c r="G33" s="3">
        <v>29.670162923931549</v>
      </c>
      <c r="H33" s="3">
        <v>20.5798650378416</v>
      </c>
      <c r="I33" s="3">
        <v>15.446903699653275</v>
      </c>
      <c r="J33" s="3">
        <v>86.135310127132868</v>
      </c>
      <c r="K33" s="3">
        <v>72.514011955211458</v>
      </c>
      <c r="L33" s="3">
        <v>56.129009407583226</v>
      </c>
      <c r="N33" s="22"/>
      <c r="O33" s="22"/>
      <c r="P33" s="22"/>
      <c r="Q33" s="22"/>
      <c r="R33" s="22"/>
      <c r="S33" s="22"/>
      <c r="T33" s="22"/>
    </row>
    <row r="34" spans="2:28" ht="15" customHeight="1" x14ac:dyDescent="0.25">
      <c r="B34" s="171"/>
      <c r="C34" s="170"/>
      <c r="D34" s="167"/>
      <c r="E34" s="1" t="s">
        <v>14</v>
      </c>
      <c r="F34" s="1">
        <v>24.265972386195582</v>
      </c>
      <c r="G34" s="1">
        <v>23.498042675879553</v>
      </c>
      <c r="H34" s="1">
        <v>20.863732958852697</v>
      </c>
      <c r="I34" s="1">
        <v>15.657275653373434</v>
      </c>
      <c r="J34" s="1">
        <v>51.723439422371904</v>
      </c>
      <c r="K34" s="1">
        <v>41.78811189680242</v>
      </c>
      <c r="L34" s="1">
        <v>33.700212509475932</v>
      </c>
      <c r="N34" s="22"/>
      <c r="O34" s="22"/>
      <c r="P34" s="22"/>
      <c r="Q34" s="22"/>
      <c r="R34" s="22"/>
      <c r="S34" s="22"/>
      <c r="T34" s="22"/>
    </row>
    <row r="35" spans="2:28" x14ac:dyDescent="0.25">
      <c r="B35" s="171"/>
      <c r="C35" s="170"/>
      <c r="D35" s="166" t="s">
        <v>47</v>
      </c>
      <c r="E35" s="1" t="s">
        <v>13</v>
      </c>
      <c r="F35" s="3">
        <v>28.437086010414205</v>
      </c>
      <c r="G35" s="3">
        <v>29.670162923931549</v>
      </c>
      <c r="H35" s="3">
        <v>20.5798650378416</v>
      </c>
      <c r="I35" s="3">
        <v>15.446903699653275</v>
      </c>
      <c r="J35" s="3">
        <v>86.135310127132868</v>
      </c>
      <c r="K35" s="3">
        <v>72.514011955211458</v>
      </c>
      <c r="L35" s="3">
        <v>56.129009407583226</v>
      </c>
      <c r="N35" s="22"/>
      <c r="O35" s="22"/>
      <c r="P35" s="22"/>
      <c r="Q35" s="22"/>
      <c r="R35" s="22"/>
      <c r="S35" s="22"/>
      <c r="T35" s="22"/>
    </row>
    <row r="36" spans="2:28" x14ac:dyDescent="0.25">
      <c r="B36" s="171"/>
      <c r="C36" s="170"/>
      <c r="D36" s="167"/>
      <c r="E36" s="1" t="s">
        <v>14</v>
      </c>
      <c r="F36" s="66">
        <v>31.490300371580897</v>
      </c>
      <c r="G36" s="66">
        <v>30.870916027688367</v>
      </c>
      <c r="H36" s="66">
        <v>25.623547541228081</v>
      </c>
      <c r="I36" s="66">
        <v>19.260939267028718</v>
      </c>
      <c r="J36" s="66">
        <v>65.523382256080126</v>
      </c>
      <c r="K36" s="66">
        <v>51.325388047274039</v>
      </c>
      <c r="L36" s="66">
        <v>46.29028048765332</v>
      </c>
      <c r="N36" s="22"/>
      <c r="O36" s="22"/>
      <c r="P36" s="22"/>
      <c r="Q36" s="22"/>
      <c r="R36" s="22"/>
      <c r="S36" s="22"/>
      <c r="T36" s="22"/>
    </row>
    <row r="37" spans="2:28" x14ac:dyDescent="0.25">
      <c r="B37" s="171"/>
      <c r="C37" s="170"/>
      <c r="D37" s="64"/>
      <c r="E37" s="65" t="s">
        <v>15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N37" s="22"/>
      <c r="O37" s="22"/>
      <c r="P37" s="22"/>
      <c r="Q37" s="22"/>
      <c r="R37" s="22"/>
      <c r="S37" s="22"/>
      <c r="T37" s="22"/>
    </row>
    <row r="38" spans="2:28" ht="15" customHeight="1" x14ac:dyDescent="0.25">
      <c r="B38" s="75"/>
      <c r="C38" s="75"/>
      <c r="D38" s="75"/>
      <c r="E38" s="75"/>
      <c r="F38" s="75"/>
      <c r="G38" s="55"/>
      <c r="H38" s="55"/>
      <c r="I38" s="55"/>
      <c r="J38" s="55"/>
      <c r="K38" s="55"/>
      <c r="L38" s="55"/>
      <c r="N38" s="22"/>
      <c r="O38" s="22"/>
      <c r="P38" s="22"/>
      <c r="Q38" s="22"/>
      <c r="R38" s="22"/>
      <c r="S38" s="22"/>
      <c r="T38" s="22"/>
    </row>
    <row r="39" spans="2:28" x14ac:dyDescent="0.25">
      <c r="B39" s="75"/>
      <c r="C39" s="75"/>
      <c r="D39" s="75"/>
      <c r="E39" s="75"/>
      <c r="F39" s="75"/>
      <c r="G39" s="72"/>
      <c r="H39" s="72"/>
      <c r="I39" s="72"/>
      <c r="J39" s="72"/>
      <c r="K39" s="72"/>
      <c r="L39" s="72"/>
      <c r="N39" s="22"/>
      <c r="O39" s="22"/>
      <c r="P39" s="22"/>
      <c r="Q39" s="22"/>
      <c r="R39" s="22"/>
      <c r="S39" s="22"/>
      <c r="T39" s="22"/>
    </row>
    <row r="40" spans="2:28" x14ac:dyDescent="0.25">
      <c r="B40" s="75"/>
      <c r="C40" s="75"/>
      <c r="D40" s="75"/>
      <c r="E40" s="75"/>
      <c r="F40" s="75"/>
      <c r="G40" s="32"/>
      <c r="H40" s="32"/>
      <c r="I40" s="32"/>
      <c r="J40" s="32"/>
      <c r="K40" s="32"/>
      <c r="L40" s="32"/>
      <c r="N40" s="68"/>
      <c r="O40" s="68"/>
      <c r="P40" s="68"/>
      <c r="Q40" s="68"/>
      <c r="R40" s="68"/>
      <c r="S40" s="68"/>
      <c r="T40" s="68"/>
    </row>
    <row r="41" spans="2:28" ht="15" customHeight="1" x14ac:dyDescent="0.25">
      <c r="F41" s="48"/>
      <c r="G41" s="48"/>
      <c r="H41" s="48"/>
      <c r="I41" s="48"/>
      <c r="J41" s="48"/>
      <c r="K41" s="48"/>
      <c r="L41" s="48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</row>
    <row r="42" spans="2:28" x14ac:dyDescent="0.25">
      <c r="B42" s="168" t="s">
        <v>11</v>
      </c>
      <c r="C42" s="169">
        <v>8.625</v>
      </c>
      <c r="D42" s="166" t="s">
        <v>46</v>
      </c>
      <c r="E42" s="1" t="s">
        <v>13</v>
      </c>
      <c r="F42" s="3">
        <v>37.437707383150858</v>
      </c>
      <c r="G42" s="3">
        <v>33.926951421079451</v>
      </c>
      <c r="H42" s="3">
        <v>22.86651670871289</v>
      </c>
      <c r="I42" s="3">
        <v>15.907142058235054</v>
      </c>
      <c r="J42" s="3">
        <v>124.34973343109598</v>
      </c>
      <c r="K42" s="3">
        <v>77.388867486050188</v>
      </c>
      <c r="L42" s="3">
        <v>115.36779052282303</v>
      </c>
      <c r="N42" s="32"/>
      <c r="O42" s="55"/>
      <c r="P42" s="32"/>
      <c r="Q42" s="149"/>
      <c r="R42" s="149"/>
      <c r="S42" s="32"/>
      <c r="T42" s="55"/>
      <c r="U42" s="32"/>
      <c r="V42" s="149"/>
      <c r="W42" s="149"/>
      <c r="X42" s="32"/>
      <c r="Y42" s="55"/>
      <c r="Z42" s="32"/>
      <c r="AA42" s="149"/>
      <c r="AB42" s="149"/>
    </row>
    <row r="43" spans="2:28" x14ac:dyDescent="0.25">
      <c r="B43" s="168"/>
      <c r="C43" s="170"/>
      <c r="D43" s="167"/>
      <c r="E43" s="1" t="s">
        <v>14</v>
      </c>
      <c r="F43" s="1">
        <v>28.739110442790214</v>
      </c>
      <c r="G43" s="1">
        <v>18.715746827892179</v>
      </c>
      <c r="H43" s="1">
        <v>19.386829383473973</v>
      </c>
      <c r="I43" s="1">
        <v>13.048827469645943</v>
      </c>
      <c r="J43" s="1">
        <v>46.320230653559847</v>
      </c>
      <c r="K43" s="1">
        <v>40.670088359203156</v>
      </c>
      <c r="L43" s="1">
        <v>48.747933935650643</v>
      </c>
      <c r="N43" s="32"/>
      <c r="O43" s="55"/>
      <c r="P43" s="32"/>
      <c r="Q43" s="149"/>
      <c r="R43" s="149"/>
      <c r="S43" s="32"/>
      <c r="T43" s="55"/>
      <c r="U43" s="32"/>
      <c r="V43" s="149"/>
      <c r="W43" s="149"/>
      <c r="X43" s="32"/>
      <c r="Y43" s="55"/>
      <c r="Z43" s="32"/>
      <c r="AA43" s="149"/>
      <c r="AB43" s="149"/>
    </row>
    <row r="44" spans="2:28" ht="15" customHeight="1" x14ac:dyDescent="0.25">
      <c r="B44" s="168"/>
      <c r="C44" s="170"/>
      <c r="D44" s="166" t="s">
        <v>47</v>
      </c>
      <c r="E44" s="1" t="s">
        <v>13</v>
      </c>
      <c r="F44" s="3">
        <v>37.437707383150858</v>
      </c>
      <c r="G44" s="3">
        <v>33.926951421079451</v>
      </c>
      <c r="H44" s="3">
        <v>22.86651670871289</v>
      </c>
      <c r="I44" s="3">
        <v>15.907142058235054</v>
      </c>
      <c r="J44" s="3">
        <v>124.34973343109598</v>
      </c>
      <c r="K44" s="3">
        <v>77.388867486050188</v>
      </c>
      <c r="L44" s="3">
        <v>115.36779052282303</v>
      </c>
      <c r="N44" s="32"/>
      <c r="O44" s="55"/>
      <c r="P44" s="32"/>
      <c r="Q44" s="149"/>
      <c r="R44" s="149"/>
      <c r="S44" s="32"/>
      <c r="T44" s="55"/>
      <c r="U44" s="32"/>
      <c r="V44" s="149"/>
      <c r="W44" s="149"/>
      <c r="X44" s="32"/>
      <c r="Y44" s="55"/>
      <c r="Z44" s="32"/>
      <c r="AA44" s="149"/>
      <c r="AB44" s="149"/>
    </row>
    <row r="45" spans="2:28" x14ac:dyDescent="0.25">
      <c r="B45" s="168"/>
      <c r="C45" s="170"/>
      <c r="D45" s="167"/>
      <c r="E45" s="1" t="s">
        <v>14</v>
      </c>
      <c r="F45" s="66">
        <v>35.147327475859669</v>
      </c>
      <c r="G45" s="66">
        <v>22.036984105285399</v>
      </c>
      <c r="H45" s="66">
        <v>20.228789441634461</v>
      </c>
      <c r="I45" s="66">
        <v>13.801931226465509</v>
      </c>
      <c r="J45" s="66">
        <v>52.551977829420757</v>
      </c>
      <c r="K45" s="66">
        <v>48.818149054892068</v>
      </c>
      <c r="L45" s="66">
        <v>58.761355586762278</v>
      </c>
      <c r="N45" s="32"/>
      <c r="O45" s="55"/>
      <c r="P45" s="32"/>
      <c r="Q45" s="149"/>
      <c r="R45" s="149"/>
      <c r="S45" s="32"/>
      <c r="T45" s="55"/>
      <c r="U45" s="32"/>
      <c r="V45" s="149"/>
      <c r="W45" s="149"/>
      <c r="X45" s="32"/>
      <c r="Y45" s="55"/>
      <c r="Z45" s="32"/>
      <c r="AA45" s="149"/>
      <c r="AB45" s="149"/>
    </row>
    <row r="46" spans="2:28" x14ac:dyDescent="0.25">
      <c r="B46" s="168"/>
      <c r="C46" s="170"/>
      <c r="D46" s="64"/>
      <c r="E46" s="65" t="s">
        <v>15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N46" s="32"/>
      <c r="O46" s="55"/>
      <c r="P46" s="32"/>
      <c r="Q46" s="149"/>
      <c r="R46" s="149"/>
      <c r="S46" s="32"/>
      <c r="T46" s="55"/>
      <c r="U46" s="32"/>
      <c r="V46" s="149"/>
      <c r="W46" s="149"/>
      <c r="X46" s="32"/>
      <c r="Y46" s="55"/>
      <c r="Z46" s="32"/>
      <c r="AA46" s="149"/>
      <c r="AB46" s="149"/>
    </row>
    <row r="47" spans="2:28" x14ac:dyDescent="0.25">
      <c r="B47" s="168"/>
      <c r="C47" s="169">
        <v>10.5</v>
      </c>
      <c r="D47" s="166" t="s">
        <v>46</v>
      </c>
      <c r="E47" s="1" t="s">
        <v>13</v>
      </c>
      <c r="F47" s="3">
        <v>46.797134228938575</v>
      </c>
      <c r="G47" s="3">
        <v>42.408689276349314</v>
      </c>
      <c r="H47" s="3">
        <v>28.583145885891113</v>
      </c>
      <c r="I47" s="3">
        <v>19.883927572793816</v>
      </c>
      <c r="J47" s="3">
        <v>155.43716678886997</v>
      </c>
      <c r="K47" s="3">
        <v>96.736084357562731</v>
      </c>
      <c r="L47" s="3">
        <v>144.20973815352878</v>
      </c>
      <c r="N47" s="32"/>
      <c r="O47" s="55"/>
      <c r="P47" s="32"/>
      <c r="Q47" s="149"/>
      <c r="R47" s="149"/>
      <c r="S47" s="32"/>
      <c r="T47" s="55"/>
      <c r="U47" s="32"/>
      <c r="V47" s="149"/>
      <c r="W47" s="149"/>
      <c r="X47" s="32"/>
      <c r="Y47" s="55"/>
      <c r="Z47" s="32"/>
      <c r="AA47" s="149"/>
      <c r="AB47" s="149"/>
    </row>
    <row r="48" spans="2:28" x14ac:dyDescent="0.25">
      <c r="B48" s="168"/>
      <c r="C48" s="170"/>
      <c r="D48" s="167"/>
      <c r="E48" s="1" t="s">
        <v>14</v>
      </c>
      <c r="F48" s="1">
        <v>33.912150322492451</v>
      </c>
      <c r="G48" s="1">
        <v>22.08458125691277</v>
      </c>
      <c r="H48" s="1">
        <v>22.876458672499286</v>
      </c>
      <c r="I48" s="1">
        <v>15.397616414182211</v>
      </c>
      <c r="J48" s="1">
        <v>54.657872171200616</v>
      </c>
      <c r="K48" s="1">
        <v>47.990704263859719</v>
      </c>
      <c r="L48" s="1">
        <v>57.522562044067755</v>
      </c>
      <c r="N48" s="32"/>
      <c r="O48" s="55"/>
      <c r="P48" s="32"/>
      <c r="Q48" s="149"/>
      <c r="R48" s="149"/>
      <c r="S48" s="32"/>
      <c r="T48" s="55"/>
      <c r="U48" s="32"/>
      <c r="V48" s="149"/>
      <c r="W48" s="149"/>
      <c r="X48" s="32"/>
      <c r="Y48" s="55"/>
      <c r="Z48" s="32"/>
      <c r="AA48" s="149"/>
      <c r="AB48" s="149"/>
    </row>
    <row r="49" spans="2:20" x14ac:dyDescent="0.25">
      <c r="B49" s="168"/>
      <c r="C49" s="170"/>
      <c r="D49" s="166" t="s">
        <v>47</v>
      </c>
      <c r="E49" s="1" t="s">
        <v>13</v>
      </c>
      <c r="F49" s="3">
        <v>46.797134228938575</v>
      </c>
      <c r="G49" s="3">
        <v>42.408689276349314</v>
      </c>
      <c r="H49" s="3">
        <v>28.583145885891113</v>
      </c>
      <c r="I49" s="3">
        <v>19.883927572793816</v>
      </c>
      <c r="J49" s="3">
        <v>155.43716678886997</v>
      </c>
      <c r="K49" s="3">
        <v>96.736084357562731</v>
      </c>
      <c r="L49" s="3">
        <v>144.20973815352878</v>
      </c>
      <c r="N49" s="53"/>
      <c r="O49" s="69"/>
      <c r="P49" s="22"/>
      <c r="Q49" s="22"/>
      <c r="R49" s="22"/>
      <c r="S49" s="22"/>
      <c r="T49" s="22"/>
    </row>
    <row r="50" spans="2:20" x14ac:dyDescent="0.25">
      <c r="B50" s="168"/>
      <c r="C50" s="170"/>
      <c r="D50" s="167"/>
      <c r="E50" s="1" t="s">
        <v>14</v>
      </c>
      <c r="F50" s="66">
        <v>46.745945542893367</v>
      </c>
      <c r="G50" s="66">
        <v>29.309188860029582</v>
      </c>
      <c r="H50" s="66">
        <v>26.904289957373834</v>
      </c>
      <c r="I50" s="66">
        <v>18.356568531199127</v>
      </c>
      <c r="J50" s="66">
        <v>69.89413051312961</v>
      </c>
      <c r="K50" s="66">
        <v>64.928138243006458</v>
      </c>
      <c r="L50" s="66">
        <v>78.152602930393826</v>
      </c>
    </row>
    <row r="51" spans="2:20" x14ac:dyDescent="0.25">
      <c r="B51" s="168"/>
      <c r="C51" s="170"/>
      <c r="D51" s="64"/>
      <c r="E51" s="65" t="s">
        <v>15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</row>
    <row r="52" spans="2:20" x14ac:dyDescent="0.25">
      <c r="B52" s="168"/>
      <c r="C52" s="169">
        <v>12.333333333333334</v>
      </c>
      <c r="D52" s="166" t="s">
        <v>46</v>
      </c>
      <c r="E52" s="1" t="s">
        <v>13</v>
      </c>
      <c r="F52" s="3">
        <v>55.220618390147514</v>
      </c>
      <c r="G52" s="3">
        <v>50.042253346092188</v>
      </c>
      <c r="H52" s="3">
        <v>33.72811214535151</v>
      </c>
      <c r="I52" s="3">
        <v>23.463034535896703</v>
      </c>
      <c r="J52" s="3">
        <v>183.41585681086656</v>
      </c>
      <c r="K52" s="3">
        <v>114.14857954192402</v>
      </c>
      <c r="L52" s="3">
        <v>170.16749102116395</v>
      </c>
    </row>
    <row r="53" spans="2:20" x14ac:dyDescent="0.25">
      <c r="B53" s="168"/>
      <c r="C53" s="170"/>
      <c r="D53" s="167"/>
      <c r="E53" s="1" t="s">
        <v>14</v>
      </c>
      <c r="F53" s="1">
        <v>42.390187903115567</v>
      </c>
      <c r="G53" s="1">
        <v>27.605726571140966</v>
      </c>
      <c r="H53" s="1">
        <v>28.595573340624107</v>
      </c>
      <c r="I53" s="1">
        <v>19.247020517727766</v>
      </c>
      <c r="J53" s="1">
        <v>68.322340214000761</v>
      </c>
      <c r="K53" s="1">
        <v>59.988380329824651</v>
      </c>
      <c r="L53" s="1">
        <v>71.90320255508469</v>
      </c>
    </row>
    <row r="54" spans="2:20" x14ac:dyDescent="0.25">
      <c r="B54" s="168"/>
      <c r="C54" s="170"/>
      <c r="D54" s="166" t="s">
        <v>47</v>
      </c>
      <c r="E54" s="1" t="s">
        <v>13</v>
      </c>
      <c r="F54" s="3">
        <v>62.240188524488303</v>
      </c>
      <c r="G54" s="3">
        <v>56.403556737544584</v>
      </c>
      <c r="H54" s="3">
        <v>38.015584028235182</v>
      </c>
      <c r="I54" s="3">
        <v>26.445623671815778</v>
      </c>
      <c r="J54" s="3">
        <v>206.73143182919711</v>
      </c>
      <c r="K54" s="3">
        <v>128.65899219555843</v>
      </c>
      <c r="L54" s="3">
        <v>191.79895174419332</v>
      </c>
    </row>
    <row r="55" spans="2:20" x14ac:dyDescent="0.25">
      <c r="B55" s="168"/>
      <c r="C55" s="170"/>
      <c r="D55" s="167"/>
      <c r="E55" s="1" t="s">
        <v>14</v>
      </c>
      <c r="F55" s="66">
        <v>58.432431928616708</v>
      </c>
      <c r="G55" s="66">
        <v>36.636486075036977</v>
      </c>
      <c r="H55" s="66">
        <v>33.630362446717292</v>
      </c>
      <c r="I55" s="66">
        <v>22.945710663998909</v>
      </c>
      <c r="J55" s="66">
        <v>87.367663141412024</v>
      </c>
      <c r="K55" s="66">
        <v>81.160172803758073</v>
      </c>
      <c r="L55" s="66">
        <v>97.690753662992293</v>
      </c>
    </row>
    <row r="56" spans="2:20" x14ac:dyDescent="0.25">
      <c r="B56" s="168"/>
      <c r="C56" s="170"/>
      <c r="D56" s="64"/>
      <c r="E56" s="65" t="s">
        <v>15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</row>
    <row r="57" spans="2:20" x14ac:dyDescent="0.25">
      <c r="B57" s="75"/>
      <c r="C57" s="75"/>
      <c r="D57" s="75"/>
      <c r="E57" s="75"/>
      <c r="F57" s="75"/>
    </row>
    <row r="58" spans="2:20" x14ac:dyDescent="0.25">
      <c r="B58" s="75"/>
      <c r="C58" s="75"/>
      <c r="D58" s="75"/>
      <c r="E58" s="75"/>
      <c r="F58" s="75"/>
    </row>
    <row r="59" spans="2:20" x14ac:dyDescent="0.25">
      <c r="B59" s="75"/>
      <c r="C59" s="75"/>
      <c r="D59" s="75"/>
      <c r="E59" s="75"/>
      <c r="F59" s="75"/>
    </row>
    <row r="60" spans="2:20" x14ac:dyDescent="0.25">
      <c r="B60" s="75"/>
      <c r="C60" s="75"/>
      <c r="D60" s="75"/>
      <c r="E60" s="75"/>
      <c r="F60" s="75"/>
    </row>
    <row r="61" spans="2:20" x14ac:dyDescent="0.25">
      <c r="B61" s="75"/>
      <c r="C61" s="75"/>
      <c r="D61" s="75"/>
      <c r="E61" s="75"/>
      <c r="F61" s="75"/>
    </row>
    <row r="62" spans="2:20" x14ac:dyDescent="0.25">
      <c r="B62" s="75"/>
      <c r="C62" s="75"/>
      <c r="D62" s="75"/>
      <c r="E62" s="75"/>
      <c r="F62" s="75"/>
    </row>
    <row r="63" spans="2:20" x14ac:dyDescent="0.25">
      <c r="B63" s="75"/>
      <c r="C63" s="75"/>
      <c r="D63" s="75"/>
      <c r="E63" s="75"/>
      <c r="F63" s="75"/>
    </row>
    <row r="64" spans="2:20" x14ac:dyDescent="0.25">
      <c r="B64" s="75"/>
      <c r="C64" s="75"/>
      <c r="D64" s="75"/>
      <c r="E64" s="75"/>
      <c r="F64" s="75"/>
    </row>
    <row r="65" spans="2:6" x14ac:dyDescent="0.25">
      <c r="B65" s="75"/>
      <c r="C65" s="75"/>
      <c r="D65" s="75"/>
      <c r="E65" s="75"/>
      <c r="F65" s="75"/>
    </row>
    <row r="66" spans="2:6" x14ac:dyDescent="0.25">
      <c r="B66" s="75"/>
      <c r="C66" s="75"/>
      <c r="D66" s="75"/>
      <c r="E66" s="75"/>
      <c r="F66" s="75"/>
    </row>
    <row r="67" spans="2:6" x14ac:dyDescent="0.25">
      <c r="B67" s="75"/>
      <c r="C67" s="75"/>
      <c r="D67" s="75"/>
      <c r="E67" s="75"/>
      <c r="F67" s="75"/>
    </row>
    <row r="68" spans="2:6" x14ac:dyDescent="0.25">
      <c r="B68" s="75"/>
      <c r="C68" s="75"/>
      <c r="D68" s="75"/>
      <c r="E68" s="75"/>
      <c r="F68" s="75"/>
    </row>
    <row r="69" spans="2:6" x14ac:dyDescent="0.25">
      <c r="B69" s="75"/>
      <c r="C69" s="75"/>
      <c r="D69" s="75"/>
      <c r="E69" s="75"/>
      <c r="F69" s="75"/>
    </row>
    <row r="70" spans="2:6" x14ac:dyDescent="0.25">
      <c r="B70" s="75"/>
      <c r="C70" s="75"/>
      <c r="D70" s="75"/>
      <c r="E70" s="75"/>
      <c r="F70" s="75"/>
    </row>
    <row r="71" spans="2:6" x14ac:dyDescent="0.25">
      <c r="B71" s="75"/>
      <c r="C71" s="75"/>
      <c r="D71" s="75"/>
      <c r="E71" s="75"/>
      <c r="F71" s="75"/>
    </row>
    <row r="72" spans="2:6" x14ac:dyDescent="0.25">
      <c r="B72" s="75"/>
      <c r="C72" s="75"/>
      <c r="D72" s="75"/>
      <c r="E72" s="75"/>
      <c r="F72" s="75"/>
    </row>
    <row r="73" spans="2:6" x14ac:dyDescent="0.25">
      <c r="B73" s="75"/>
      <c r="C73" s="75"/>
      <c r="D73" s="75"/>
      <c r="E73" s="75"/>
      <c r="F73" s="75"/>
    </row>
    <row r="74" spans="2:6" x14ac:dyDescent="0.25">
      <c r="B74" s="75"/>
      <c r="C74" s="75"/>
      <c r="D74" s="75"/>
      <c r="E74" s="75"/>
      <c r="F74" s="75"/>
    </row>
    <row r="75" spans="2:6" x14ac:dyDescent="0.25">
      <c r="B75" s="75"/>
      <c r="C75" s="75"/>
      <c r="D75" s="75"/>
      <c r="E75" s="75"/>
      <c r="F75" s="75"/>
    </row>
    <row r="76" spans="2:6" x14ac:dyDescent="0.25">
      <c r="B76" s="75"/>
      <c r="C76" s="75"/>
      <c r="D76" s="75"/>
      <c r="E76" s="75"/>
      <c r="F76" s="75"/>
    </row>
    <row r="77" spans="2:6" x14ac:dyDescent="0.25">
      <c r="B77" s="75"/>
      <c r="C77" s="75"/>
      <c r="D77" s="75"/>
      <c r="E77" s="75"/>
      <c r="F77" s="75"/>
    </row>
    <row r="78" spans="2:6" x14ac:dyDescent="0.25">
      <c r="B78" s="75"/>
      <c r="C78" s="75"/>
      <c r="D78" s="75"/>
      <c r="E78" s="75"/>
      <c r="F78" s="75"/>
    </row>
    <row r="79" spans="2:6" x14ac:dyDescent="0.25">
      <c r="B79" s="75"/>
      <c r="C79" s="75"/>
      <c r="D79" s="75"/>
      <c r="E79" s="75"/>
      <c r="F79" s="75"/>
    </row>
    <row r="80" spans="2:6" x14ac:dyDescent="0.25">
      <c r="B80" s="75"/>
      <c r="C80" s="75"/>
      <c r="D80" s="75"/>
      <c r="E80" s="75"/>
      <c r="F80" s="75"/>
    </row>
    <row r="81" spans="2:6" x14ac:dyDescent="0.25">
      <c r="B81" s="75"/>
      <c r="C81" s="75"/>
      <c r="D81" s="75"/>
      <c r="E81" s="75"/>
      <c r="F81" s="75"/>
    </row>
    <row r="82" spans="2:6" x14ac:dyDescent="0.25">
      <c r="B82" s="75"/>
      <c r="C82" s="75"/>
      <c r="D82" s="75"/>
      <c r="E82" s="75"/>
      <c r="F82" s="75"/>
    </row>
    <row r="83" spans="2:6" x14ac:dyDescent="0.25">
      <c r="B83" s="75"/>
      <c r="C83" s="75"/>
      <c r="D83" s="75"/>
      <c r="E83" s="75"/>
      <c r="F83" s="75"/>
    </row>
  </sheetData>
  <mergeCells count="30">
    <mergeCell ref="B4:B18"/>
    <mergeCell ref="C4:C8"/>
    <mergeCell ref="C9:C13"/>
    <mergeCell ref="C14:C18"/>
    <mergeCell ref="B23:B37"/>
    <mergeCell ref="C23:C27"/>
    <mergeCell ref="C28:C32"/>
    <mergeCell ref="C33:C37"/>
    <mergeCell ref="B42:B56"/>
    <mergeCell ref="C42:C46"/>
    <mergeCell ref="D42:D43"/>
    <mergeCell ref="D44:D45"/>
    <mergeCell ref="C47:C51"/>
    <mergeCell ref="D47:D48"/>
    <mergeCell ref="D49:D50"/>
    <mergeCell ref="C52:C56"/>
    <mergeCell ref="D52:D53"/>
    <mergeCell ref="D54:D55"/>
    <mergeCell ref="D4:D5"/>
    <mergeCell ref="D6:D7"/>
    <mergeCell ref="D9:D10"/>
    <mergeCell ref="D11:D12"/>
    <mergeCell ref="D30:D31"/>
    <mergeCell ref="D33:D34"/>
    <mergeCell ref="D35:D36"/>
    <mergeCell ref="D14:D15"/>
    <mergeCell ref="D16:D17"/>
    <mergeCell ref="D23:D24"/>
    <mergeCell ref="D25:D26"/>
    <mergeCell ref="D28:D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R52"/>
  <sheetViews>
    <sheetView workbookViewId="0">
      <selection activeCell="T40" sqref="T40"/>
    </sheetView>
  </sheetViews>
  <sheetFormatPr defaultRowHeight="15" x14ac:dyDescent="0.25"/>
  <sheetData>
    <row r="2" spans="4:18" x14ac:dyDescent="0.25">
      <c r="D2" s="172" t="s">
        <v>80</v>
      </c>
      <c r="E2" s="173"/>
      <c r="F2" s="173"/>
      <c r="G2" s="173"/>
      <c r="H2" s="173"/>
      <c r="I2" s="173"/>
      <c r="J2" s="174"/>
      <c r="L2" s="172" t="s">
        <v>81</v>
      </c>
      <c r="M2" s="173"/>
      <c r="N2" s="173"/>
      <c r="O2" s="173"/>
      <c r="P2" s="173"/>
      <c r="Q2" s="173"/>
      <c r="R2" s="174"/>
    </row>
    <row r="3" spans="4:18" x14ac:dyDescent="0.25">
      <c r="D3" s="146"/>
      <c r="E3" s="52"/>
      <c r="F3" s="52"/>
      <c r="G3" s="52"/>
      <c r="H3" s="52"/>
      <c r="I3" s="52"/>
      <c r="J3" s="147"/>
      <c r="L3" s="146"/>
      <c r="M3" s="52"/>
      <c r="N3" s="52"/>
      <c r="O3" s="52"/>
      <c r="P3" s="52"/>
      <c r="Q3" s="52"/>
      <c r="R3" s="147"/>
    </row>
    <row r="4" spans="4:18" x14ac:dyDescent="0.25">
      <c r="D4" s="82">
        <v>32662</v>
      </c>
      <c r="E4" s="82">
        <v>30500</v>
      </c>
      <c r="F4" s="82">
        <v>24400</v>
      </c>
      <c r="G4" s="82">
        <v>15600</v>
      </c>
      <c r="H4" s="82">
        <v>71650</v>
      </c>
      <c r="I4" s="82">
        <v>59030</v>
      </c>
      <c r="J4" s="82">
        <v>41001</v>
      </c>
      <c r="L4" s="144">
        <f>D4/1609.34</f>
        <v>20.29527632445599</v>
      </c>
      <c r="M4" s="144">
        <f t="shared" ref="M4:R18" si="0">E4/1609.34</f>
        <v>18.951868467819107</v>
      </c>
      <c r="N4" s="144">
        <f t="shared" si="0"/>
        <v>15.161494774255285</v>
      </c>
      <c r="O4" s="144">
        <f t="shared" si="0"/>
        <v>9.6934146917369866</v>
      </c>
      <c r="P4" s="144">
        <f t="shared" si="0"/>
        <v>44.521356580958653</v>
      </c>
      <c r="Q4" s="144">
        <f t="shared" si="0"/>
        <v>36.679632644438094</v>
      </c>
      <c r="R4" s="144">
        <f t="shared" si="0"/>
        <v>25.476903575378728</v>
      </c>
    </row>
    <row r="5" spans="4:18" x14ac:dyDescent="0.25">
      <c r="D5" s="1">
        <v>34200</v>
      </c>
      <c r="E5" s="1">
        <v>32152</v>
      </c>
      <c r="F5" s="1">
        <v>29000</v>
      </c>
      <c r="G5" s="1">
        <v>21900</v>
      </c>
      <c r="H5" s="1">
        <v>51290</v>
      </c>
      <c r="I5" s="1">
        <v>35180</v>
      </c>
      <c r="J5" s="1">
        <v>33900</v>
      </c>
      <c r="L5" s="144">
        <f t="shared" ref="L5:L52" si="1">D5/1609.34</f>
        <v>21.25094759342339</v>
      </c>
      <c r="M5" s="144">
        <f t="shared" si="0"/>
        <v>19.978376228764589</v>
      </c>
      <c r="N5" s="144">
        <f t="shared" si="0"/>
        <v>18.019809362844398</v>
      </c>
      <c r="O5" s="144">
        <f t="shared" si="0"/>
        <v>13.608062932630769</v>
      </c>
      <c r="P5" s="144">
        <f t="shared" si="0"/>
        <v>31.870207662768589</v>
      </c>
      <c r="Q5" s="144">
        <f t="shared" si="0"/>
        <v>21.859892875340204</v>
      </c>
      <c r="R5" s="144">
        <f t="shared" si="0"/>
        <v>21.064535772428449</v>
      </c>
    </row>
    <row r="6" spans="4:18" x14ac:dyDescent="0.25">
      <c r="D6" s="82">
        <v>32662</v>
      </c>
      <c r="E6" s="82">
        <v>30500</v>
      </c>
      <c r="F6" s="82">
        <v>24400</v>
      </c>
      <c r="G6" s="82">
        <v>15600</v>
      </c>
      <c r="H6" s="82">
        <v>71650</v>
      </c>
      <c r="I6" s="82">
        <v>59030</v>
      </c>
      <c r="J6" s="82">
        <v>41001</v>
      </c>
      <c r="L6" s="144">
        <f t="shared" si="1"/>
        <v>20.29527632445599</v>
      </c>
      <c r="M6" s="144">
        <f t="shared" si="0"/>
        <v>18.951868467819107</v>
      </c>
      <c r="N6" s="144">
        <f t="shared" si="0"/>
        <v>15.161494774255285</v>
      </c>
      <c r="O6" s="144">
        <f t="shared" si="0"/>
        <v>9.6934146917369866</v>
      </c>
      <c r="P6" s="144">
        <f t="shared" si="0"/>
        <v>44.521356580958653</v>
      </c>
      <c r="Q6" s="144">
        <f t="shared" si="0"/>
        <v>36.679632644438094</v>
      </c>
      <c r="R6" s="144">
        <f t="shared" si="0"/>
        <v>25.476903575378728</v>
      </c>
    </row>
    <row r="7" spans="4:18" x14ac:dyDescent="0.25">
      <c r="D7" s="66">
        <v>41040</v>
      </c>
      <c r="E7" s="66">
        <v>37644</v>
      </c>
      <c r="F7" s="66">
        <v>31050</v>
      </c>
      <c r="G7" s="66">
        <v>23200</v>
      </c>
      <c r="H7" s="66">
        <v>6010</v>
      </c>
      <c r="I7" s="66">
        <v>39910</v>
      </c>
      <c r="J7" s="66">
        <v>38600</v>
      </c>
      <c r="L7" s="144">
        <f t="shared" si="1"/>
        <v>25.501137112108072</v>
      </c>
      <c r="M7" s="144">
        <f t="shared" si="0"/>
        <v>23.390955298445327</v>
      </c>
      <c r="N7" s="144">
        <f t="shared" si="0"/>
        <v>19.293623472976499</v>
      </c>
      <c r="O7" s="144">
        <f t="shared" si="0"/>
        <v>14.415847490275517</v>
      </c>
      <c r="P7" s="144">
        <f t="shared" si="0"/>
        <v>3.7344501472653389</v>
      </c>
      <c r="Q7" s="144">
        <f t="shared" si="0"/>
        <v>24.798985919693788</v>
      </c>
      <c r="R7" s="144">
        <f t="shared" si="0"/>
        <v>23.984987634682543</v>
      </c>
    </row>
    <row r="8" spans="4:18" x14ac:dyDescent="0.25">
      <c r="D8" s="67"/>
      <c r="E8" s="67"/>
      <c r="F8" s="67"/>
      <c r="G8" s="67"/>
      <c r="H8" s="67"/>
      <c r="I8" s="67"/>
      <c r="J8" s="67"/>
      <c r="L8" s="145">
        <f t="shared" si="1"/>
        <v>0</v>
      </c>
      <c r="M8" s="145">
        <f t="shared" si="0"/>
        <v>0</v>
      </c>
      <c r="N8" s="145">
        <f t="shared" si="0"/>
        <v>0</v>
      </c>
      <c r="O8" s="145">
        <f t="shared" si="0"/>
        <v>0</v>
      </c>
      <c r="P8" s="145">
        <f t="shared" si="0"/>
        <v>0</v>
      </c>
      <c r="Q8" s="145">
        <f t="shared" si="0"/>
        <v>0</v>
      </c>
      <c r="R8" s="145">
        <f t="shared" si="0"/>
        <v>0</v>
      </c>
    </row>
    <row r="9" spans="4:18" x14ac:dyDescent="0.25">
      <c r="D9" s="82">
        <v>40827.5</v>
      </c>
      <c r="E9" s="82">
        <v>38125</v>
      </c>
      <c r="F9" s="82">
        <v>30500</v>
      </c>
      <c r="G9" s="82">
        <v>19500</v>
      </c>
      <c r="H9" s="82">
        <v>89562.5</v>
      </c>
      <c r="I9" s="82">
        <v>73787.5</v>
      </c>
      <c r="J9" s="82">
        <v>51251.25</v>
      </c>
      <c r="L9" s="144">
        <f t="shared" si="1"/>
        <v>25.369095405569986</v>
      </c>
      <c r="M9" s="144">
        <f t="shared" si="0"/>
        <v>23.689835584773885</v>
      </c>
      <c r="N9" s="144">
        <f t="shared" si="0"/>
        <v>18.951868467819107</v>
      </c>
      <c r="O9" s="144">
        <f t="shared" si="0"/>
        <v>12.116768364671232</v>
      </c>
      <c r="P9" s="144">
        <f t="shared" si="0"/>
        <v>55.651695726198319</v>
      </c>
      <c r="Q9" s="144">
        <f t="shared" si="0"/>
        <v>45.849540805547619</v>
      </c>
      <c r="R9" s="144">
        <f t="shared" si="0"/>
        <v>31.84612946922341</v>
      </c>
    </row>
    <row r="10" spans="4:18" x14ac:dyDescent="0.25">
      <c r="D10" s="1">
        <v>40356</v>
      </c>
      <c r="E10" s="1">
        <v>37939.360000000001</v>
      </c>
      <c r="F10" s="1">
        <v>34220</v>
      </c>
      <c r="G10" s="1">
        <v>25842</v>
      </c>
      <c r="H10" s="1">
        <v>60522.2</v>
      </c>
      <c r="I10" s="1">
        <v>41512.399999999994</v>
      </c>
      <c r="J10" s="1">
        <v>40002</v>
      </c>
      <c r="L10" s="144">
        <f t="shared" si="1"/>
        <v>25.076118160239602</v>
      </c>
      <c r="M10" s="144">
        <f t="shared" si="0"/>
        <v>23.574483949942213</v>
      </c>
      <c r="N10" s="144">
        <f t="shared" si="0"/>
        <v>21.263375048156387</v>
      </c>
      <c r="O10" s="144">
        <f t="shared" si="0"/>
        <v>16.057514260504306</v>
      </c>
      <c r="P10" s="144">
        <f t="shared" si="0"/>
        <v>37.606845042066936</v>
      </c>
      <c r="Q10" s="144">
        <f t="shared" si="0"/>
        <v>25.794673592901436</v>
      </c>
      <c r="R10" s="144">
        <f t="shared" si="0"/>
        <v>24.85615221146557</v>
      </c>
    </row>
    <row r="11" spans="4:18" x14ac:dyDescent="0.25">
      <c r="D11" s="82">
        <v>40827.5</v>
      </c>
      <c r="E11" s="82">
        <v>38125</v>
      </c>
      <c r="F11" s="82">
        <v>30500</v>
      </c>
      <c r="G11" s="82">
        <v>19500</v>
      </c>
      <c r="H11" s="82">
        <v>89562.5</v>
      </c>
      <c r="I11" s="82">
        <v>73787.5</v>
      </c>
      <c r="J11" s="82">
        <v>51251.25</v>
      </c>
      <c r="L11" s="144">
        <f t="shared" si="1"/>
        <v>25.369095405569986</v>
      </c>
      <c r="M11" s="144">
        <f t="shared" si="0"/>
        <v>23.689835584773885</v>
      </c>
      <c r="N11" s="144">
        <f t="shared" si="0"/>
        <v>18.951868467819107</v>
      </c>
      <c r="O11" s="144">
        <f t="shared" si="0"/>
        <v>12.116768364671232</v>
      </c>
      <c r="P11" s="144">
        <f t="shared" si="0"/>
        <v>55.651695726198319</v>
      </c>
      <c r="Q11" s="144">
        <f t="shared" si="0"/>
        <v>45.849540805547619</v>
      </c>
      <c r="R11" s="144">
        <f t="shared" si="0"/>
        <v>31.84612946922341</v>
      </c>
    </row>
    <row r="12" spans="4:18" x14ac:dyDescent="0.25">
      <c r="D12" s="66">
        <v>54583.200000000004</v>
      </c>
      <c r="E12" s="66">
        <v>50066.520000000004</v>
      </c>
      <c r="F12" s="66">
        <v>41296.5</v>
      </c>
      <c r="G12" s="66">
        <v>30856</v>
      </c>
      <c r="H12" s="66">
        <v>79933</v>
      </c>
      <c r="I12" s="66">
        <v>53080.3</v>
      </c>
      <c r="J12" s="66">
        <v>51338</v>
      </c>
      <c r="L12" s="144">
        <f t="shared" si="1"/>
        <v>33.916512359103734</v>
      </c>
      <c r="M12" s="144">
        <f t="shared" si="0"/>
        <v>31.109970546932288</v>
      </c>
      <c r="N12" s="144">
        <f t="shared" si="0"/>
        <v>25.660519219058745</v>
      </c>
      <c r="O12" s="144">
        <f t="shared" si="0"/>
        <v>19.173077162066438</v>
      </c>
      <c r="P12" s="144">
        <f t="shared" si="0"/>
        <v>49.668186958629008</v>
      </c>
      <c r="Q12" s="144">
        <f t="shared" si="0"/>
        <v>32.982651273192744</v>
      </c>
      <c r="R12" s="144">
        <f t="shared" si="0"/>
        <v>31.900033554127781</v>
      </c>
    </row>
    <row r="13" spans="4:18" x14ac:dyDescent="0.25">
      <c r="D13" s="67"/>
      <c r="E13" s="67"/>
      <c r="F13" s="67"/>
      <c r="G13" s="67"/>
      <c r="H13" s="67"/>
      <c r="I13" s="67"/>
      <c r="J13" s="67"/>
      <c r="L13" s="145">
        <f t="shared" si="1"/>
        <v>0</v>
      </c>
      <c r="M13" s="145">
        <f t="shared" si="0"/>
        <v>0</v>
      </c>
      <c r="N13" s="145">
        <f t="shared" si="0"/>
        <v>0</v>
      </c>
      <c r="O13" s="145">
        <f t="shared" si="0"/>
        <v>0</v>
      </c>
      <c r="P13" s="145">
        <f t="shared" si="0"/>
        <v>0</v>
      </c>
      <c r="Q13" s="145">
        <f t="shared" si="0"/>
        <v>0</v>
      </c>
      <c r="R13" s="145">
        <f t="shared" si="0"/>
        <v>0</v>
      </c>
    </row>
    <row r="14" spans="4:18" x14ac:dyDescent="0.25">
      <c r="D14" s="82">
        <v>45073.56</v>
      </c>
      <c r="E14" s="82">
        <v>42090</v>
      </c>
      <c r="F14" s="82">
        <v>33672</v>
      </c>
      <c r="G14" s="82">
        <v>21528</v>
      </c>
      <c r="H14" s="82">
        <v>98876.999999999985</v>
      </c>
      <c r="I14" s="82">
        <v>81461.399999999994</v>
      </c>
      <c r="J14" s="82">
        <v>56581.38</v>
      </c>
      <c r="L14" s="144">
        <f t="shared" si="1"/>
        <v>28.007481327749264</v>
      </c>
      <c r="M14" s="144">
        <f t="shared" si="0"/>
        <v>26.153578485590369</v>
      </c>
      <c r="N14" s="144">
        <f t="shared" si="0"/>
        <v>20.922862788472294</v>
      </c>
      <c r="O14" s="144">
        <f t="shared" si="0"/>
        <v>13.376912274597041</v>
      </c>
      <c r="P14" s="144">
        <f t="shared" si="0"/>
        <v>61.43947208172294</v>
      </c>
      <c r="Q14" s="144">
        <f t="shared" si="0"/>
        <v>50.617893049324564</v>
      </c>
      <c r="R14" s="144">
        <f t="shared" si="0"/>
        <v>35.15812693402264</v>
      </c>
    </row>
    <row r="15" spans="4:18" x14ac:dyDescent="0.25">
      <c r="D15" s="1">
        <v>41724</v>
      </c>
      <c r="E15" s="1">
        <v>39225.440000000002</v>
      </c>
      <c r="F15" s="1">
        <v>35380</v>
      </c>
      <c r="G15" s="1">
        <v>26718</v>
      </c>
      <c r="H15" s="1">
        <v>62573.799999999996</v>
      </c>
      <c r="I15" s="1">
        <v>42919.6</v>
      </c>
      <c r="J15" s="1">
        <v>41358</v>
      </c>
      <c r="L15" s="144">
        <f t="shared" si="1"/>
        <v>25.926156063976538</v>
      </c>
      <c r="M15" s="144">
        <f t="shared" si="0"/>
        <v>24.373618999092798</v>
      </c>
      <c r="N15" s="144">
        <f t="shared" si="0"/>
        <v>21.984167422670165</v>
      </c>
      <c r="O15" s="144">
        <f t="shared" si="0"/>
        <v>16.601836777809538</v>
      </c>
      <c r="P15" s="144">
        <f t="shared" si="0"/>
        <v>38.881653348577679</v>
      </c>
      <c r="Q15" s="144">
        <f t="shared" si="0"/>
        <v>26.669069307915045</v>
      </c>
      <c r="R15" s="144">
        <f t="shared" si="0"/>
        <v>25.698733642362708</v>
      </c>
    </row>
    <row r="16" spans="4:18" x14ac:dyDescent="0.25">
      <c r="D16" s="82">
        <v>45073.56</v>
      </c>
      <c r="E16" s="82">
        <v>42090</v>
      </c>
      <c r="F16" s="82">
        <v>33672</v>
      </c>
      <c r="G16" s="82">
        <v>21528</v>
      </c>
      <c r="H16" s="82">
        <v>98876.999999999985</v>
      </c>
      <c r="I16" s="82">
        <v>81461.399999999994</v>
      </c>
      <c r="J16" s="82">
        <v>56581.38</v>
      </c>
      <c r="L16" s="144">
        <f t="shared" si="1"/>
        <v>28.007481327749264</v>
      </c>
      <c r="M16" s="144">
        <f t="shared" si="0"/>
        <v>26.153578485590369</v>
      </c>
      <c r="N16" s="144">
        <f t="shared" si="0"/>
        <v>20.922862788472294</v>
      </c>
      <c r="O16" s="144">
        <f t="shared" si="0"/>
        <v>13.376912274597041</v>
      </c>
      <c r="P16" s="144">
        <f t="shared" si="0"/>
        <v>61.43947208172294</v>
      </c>
      <c r="Q16" s="144">
        <f t="shared" si="0"/>
        <v>50.617893049324564</v>
      </c>
      <c r="R16" s="144">
        <f t="shared" si="0"/>
        <v>35.15812693402264</v>
      </c>
    </row>
    <row r="17" spans="4:18" x14ac:dyDescent="0.25">
      <c r="D17" s="66">
        <v>57455.999999999993</v>
      </c>
      <c r="E17" s="66">
        <v>52701.599999999999</v>
      </c>
      <c r="F17" s="66">
        <v>43470</v>
      </c>
      <c r="G17" s="66">
        <v>32479.999999999996</v>
      </c>
      <c r="H17" s="66">
        <v>84140</v>
      </c>
      <c r="I17" s="66">
        <v>55874</v>
      </c>
      <c r="J17" s="66">
        <v>54040</v>
      </c>
      <c r="L17" s="144">
        <f t="shared" si="1"/>
        <v>35.701591956951297</v>
      </c>
      <c r="M17" s="144">
        <f t="shared" si="0"/>
        <v>32.747337417823459</v>
      </c>
      <c r="N17" s="144">
        <f t="shared" si="0"/>
        <v>27.011072862167101</v>
      </c>
      <c r="O17" s="144">
        <f t="shared" si="0"/>
        <v>20.182186486385721</v>
      </c>
      <c r="P17" s="144">
        <f t="shared" si="0"/>
        <v>52.282302061714745</v>
      </c>
      <c r="Q17" s="144">
        <f t="shared" si="0"/>
        <v>34.718580287571307</v>
      </c>
      <c r="R17" s="144">
        <f t="shared" si="0"/>
        <v>33.578982688555556</v>
      </c>
    </row>
    <row r="18" spans="4:18" x14ac:dyDescent="0.25">
      <c r="D18" s="67"/>
      <c r="E18" s="67"/>
      <c r="F18" s="67"/>
      <c r="G18" s="67"/>
      <c r="H18" s="67"/>
      <c r="I18" s="67"/>
      <c r="J18" s="67"/>
      <c r="L18" s="145">
        <f t="shared" si="1"/>
        <v>0</v>
      </c>
      <c r="M18" s="145">
        <f t="shared" si="0"/>
        <v>0</v>
      </c>
      <c r="N18" s="145">
        <f t="shared" si="0"/>
        <v>0</v>
      </c>
      <c r="O18" s="145">
        <f t="shared" si="0"/>
        <v>0</v>
      </c>
      <c r="P18" s="145">
        <f t="shared" si="0"/>
        <v>0</v>
      </c>
      <c r="Q18" s="145">
        <f t="shared" si="0"/>
        <v>0</v>
      </c>
      <c r="R18" s="145">
        <f t="shared" si="0"/>
        <v>0</v>
      </c>
    </row>
    <row r="21" spans="4:18" x14ac:dyDescent="0.25">
      <c r="D21" s="82">
        <v>33163</v>
      </c>
      <c r="E21" s="82">
        <v>34601</v>
      </c>
      <c r="F21" s="82">
        <v>24000</v>
      </c>
      <c r="G21" s="82">
        <v>18014</v>
      </c>
      <c r="H21" s="82">
        <v>100450</v>
      </c>
      <c r="I21" s="82">
        <v>84565</v>
      </c>
      <c r="J21" s="82">
        <v>65457</v>
      </c>
      <c r="L21" s="144">
        <f t="shared" si="1"/>
        <v>20.606584065517541</v>
      </c>
      <c r="M21" s="144">
        <f t="shared" ref="M21:M52" si="2">E21/1609.34</f>
        <v>21.500118060819965</v>
      </c>
      <c r="N21" s="144">
        <f t="shared" ref="N21:N52" si="3">F21/1609.34</f>
        <v>14.912945679595364</v>
      </c>
      <c r="O21" s="144">
        <f t="shared" ref="O21:O52" si="4">G21/1609.34</f>
        <v>11.193408478009619</v>
      </c>
      <c r="P21" s="144">
        <f t="shared" ref="P21:P52" si="5">H21/1609.34</f>
        <v>62.41689139647309</v>
      </c>
      <c r="Q21" s="144">
        <f t="shared" ref="Q21:Q52" si="6">I21/1609.34</f>
        <v>52.54638547479091</v>
      </c>
      <c r="R21" s="144">
        <f t="shared" ref="R21:R52" si="7">J21/1609.34</f>
        <v>40.673195222886406</v>
      </c>
    </row>
    <row r="22" spans="4:18" x14ac:dyDescent="0.25">
      <c r="D22" s="1">
        <v>32010</v>
      </c>
      <c r="E22" s="1">
        <v>30997</v>
      </c>
      <c r="F22" s="1">
        <v>27522</v>
      </c>
      <c r="G22" s="1">
        <v>20654</v>
      </c>
      <c r="H22" s="1">
        <v>68230</v>
      </c>
      <c r="I22" s="1">
        <v>55124</v>
      </c>
      <c r="J22" s="1">
        <v>44455</v>
      </c>
      <c r="L22" s="144">
        <f t="shared" si="1"/>
        <v>19.890141300160316</v>
      </c>
      <c r="M22" s="144">
        <f t="shared" si="2"/>
        <v>19.260690717934061</v>
      </c>
      <c r="N22" s="144">
        <f t="shared" si="3"/>
        <v>17.101420458075982</v>
      </c>
      <c r="O22" s="144">
        <f t="shared" si="4"/>
        <v>12.833832502765109</v>
      </c>
      <c r="P22" s="144">
        <f t="shared" si="5"/>
        <v>42.396261821616314</v>
      </c>
      <c r="Q22" s="144">
        <f t="shared" si="6"/>
        <v>34.25255073508395</v>
      </c>
      <c r="R22" s="144">
        <f t="shared" si="7"/>
        <v>27.623125007767161</v>
      </c>
    </row>
    <row r="23" spans="4:18" x14ac:dyDescent="0.25">
      <c r="D23" s="82">
        <v>33163</v>
      </c>
      <c r="E23" s="82">
        <v>34601</v>
      </c>
      <c r="F23" s="82">
        <v>24000</v>
      </c>
      <c r="G23" s="82">
        <v>18014</v>
      </c>
      <c r="H23" s="82">
        <v>100450</v>
      </c>
      <c r="I23" s="82">
        <v>84565</v>
      </c>
      <c r="J23" s="82">
        <v>65457</v>
      </c>
      <c r="L23" s="144">
        <f t="shared" si="1"/>
        <v>20.606584065517541</v>
      </c>
      <c r="M23" s="144">
        <f t="shared" si="2"/>
        <v>21.500118060819965</v>
      </c>
      <c r="N23" s="144">
        <f t="shared" si="3"/>
        <v>14.912945679595364</v>
      </c>
      <c r="O23" s="144">
        <f t="shared" si="4"/>
        <v>11.193408478009619</v>
      </c>
      <c r="P23" s="144">
        <f t="shared" si="5"/>
        <v>62.41689139647309</v>
      </c>
      <c r="Q23" s="144">
        <f t="shared" si="6"/>
        <v>52.54638547479091</v>
      </c>
      <c r="R23" s="144">
        <f t="shared" si="7"/>
        <v>40.673195222886406</v>
      </c>
    </row>
    <row r="24" spans="4:18" x14ac:dyDescent="0.25">
      <c r="D24" s="66">
        <v>36199</v>
      </c>
      <c r="E24" s="66">
        <v>35487</v>
      </c>
      <c r="F24" s="66">
        <v>29455</v>
      </c>
      <c r="G24" s="66">
        <v>22141</v>
      </c>
      <c r="H24" s="66">
        <v>75321</v>
      </c>
      <c r="I24" s="66">
        <v>59000</v>
      </c>
      <c r="J24" s="66">
        <v>53212</v>
      </c>
      <c r="L24" s="144">
        <f t="shared" si="1"/>
        <v>22.493071693986355</v>
      </c>
      <c r="M24" s="144">
        <f t="shared" si="2"/>
        <v>22.050654305491694</v>
      </c>
      <c r="N24" s="144">
        <f t="shared" si="3"/>
        <v>18.30253395802006</v>
      </c>
      <c r="O24" s="144">
        <f t="shared" si="4"/>
        <v>13.757813762163371</v>
      </c>
      <c r="P24" s="144">
        <f t="shared" si="5"/>
        <v>46.802415897200099</v>
      </c>
      <c r="Q24" s="144">
        <f t="shared" si="6"/>
        <v>36.6609914623386</v>
      </c>
      <c r="R24" s="144">
        <f t="shared" si="7"/>
        <v>33.064486062609518</v>
      </c>
    </row>
    <row r="25" spans="4:18" x14ac:dyDescent="0.25">
      <c r="D25" s="67"/>
      <c r="E25" s="67"/>
      <c r="F25" s="67"/>
      <c r="G25" s="67"/>
      <c r="H25" s="67"/>
      <c r="I25" s="67"/>
      <c r="J25" s="67"/>
      <c r="L25" s="145">
        <f t="shared" si="1"/>
        <v>0</v>
      </c>
      <c r="M25" s="145">
        <f t="shared" si="2"/>
        <v>0</v>
      </c>
      <c r="N25" s="145">
        <f t="shared" si="3"/>
        <v>0</v>
      </c>
      <c r="O25" s="145">
        <f t="shared" si="4"/>
        <v>0</v>
      </c>
      <c r="P25" s="145">
        <f t="shared" si="5"/>
        <v>0</v>
      </c>
      <c r="Q25" s="145">
        <f t="shared" si="6"/>
        <v>0</v>
      </c>
      <c r="R25" s="145">
        <f t="shared" si="7"/>
        <v>0</v>
      </c>
    </row>
    <row r="26" spans="4:18" x14ac:dyDescent="0.25">
      <c r="D26" s="82">
        <v>41453.75</v>
      </c>
      <c r="E26" s="82">
        <v>43251.25</v>
      </c>
      <c r="F26" s="82">
        <v>30000</v>
      </c>
      <c r="G26" s="82">
        <v>22517.5</v>
      </c>
      <c r="H26" s="82">
        <v>125562.5</v>
      </c>
      <c r="I26" s="82">
        <v>105706.25</v>
      </c>
      <c r="J26" s="82">
        <v>81821.25</v>
      </c>
      <c r="L26" s="144">
        <f t="shared" si="1"/>
        <v>25.758230081896929</v>
      </c>
      <c r="M26" s="144">
        <f t="shared" si="2"/>
        <v>26.875147576024954</v>
      </c>
      <c r="N26" s="144">
        <f t="shared" si="3"/>
        <v>18.641182099494202</v>
      </c>
      <c r="O26" s="144">
        <f t="shared" si="4"/>
        <v>13.991760597512025</v>
      </c>
      <c r="P26" s="144">
        <f t="shared" si="5"/>
        <v>78.021114245591363</v>
      </c>
      <c r="Q26" s="144">
        <f t="shared" si="6"/>
        <v>65.682981843488633</v>
      </c>
      <c r="R26" s="144">
        <f t="shared" si="7"/>
        <v>50.841494028608004</v>
      </c>
    </row>
    <row r="27" spans="4:18" x14ac:dyDescent="0.25">
      <c r="D27" s="1">
        <v>37771.799999999996</v>
      </c>
      <c r="E27" s="1">
        <v>36576.46</v>
      </c>
      <c r="F27" s="1">
        <v>32475.96</v>
      </c>
      <c r="G27" s="1">
        <v>24371.719999999998</v>
      </c>
      <c r="H27" s="1">
        <v>80511.399999999994</v>
      </c>
      <c r="I27" s="1">
        <v>65046.32</v>
      </c>
      <c r="J27" s="1">
        <v>52456.899999999994</v>
      </c>
      <c r="L27" s="144">
        <f t="shared" si="1"/>
        <v>23.47036673418917</v>
      </c>
      <c r="M27" s="144">
        <f t="shared" si="2"/>
        <v>22.727615047162192</v>
      </c>
      <c r="N27" s="144">
        <f t="shared" si="3"/>
        <v>20.179676140529658</v>
      </c>
      <c r="O27" s="144">
        <f t="shared" si="4"/>
        <v>15.143922353262827</v>
      </c>
      <c r="P27" s="144">
        <f t="shared" si="5"/>
        <v>50.027588949507248</v>
      </c>
      <c r="Q27" s="144">
        <f t="shared" si="6"/>
        <v>40.418009867399057</v>
      </c>
      <c r="R27" s="144">
        <f t="shared" si="7"/>
        <v>32.595287509165246</v>
      </c>
    </row>
    <row r="28" spans="4:18" x14ac:dyDescent="0.25">
      <c r="D28" s="82">
        <v>41453.75</v>
      </c>
      <c r="E28" s="82">
        <v>43251.25</v>
      </c>
      <c r="F28" s="82">
        <v>30000</v>
      </c>
      <c r="G28" s="82">
        <v>22517.5</v>
      </c>
      <c r="H28" s="82">
        <v>125562.5</v>
      </c>
      <c r="I28" s="82">
        <v>105706.25</v>
      </c>
      <c r="J28" s="82">
        <v>81821.25</v>
      </c>
      <c r="L28" s="144">
        <f t="shared" si="1"/>
        <v>25.758230081896929</v>
      </c>
      <c r="M28" s="144">
        <f t="shared" si="2"/>
        <v>26.875147576024954</v>
      </c>
      <c r="N28" s="144">
        <f t="shared" si="3"/>
        <v>18.641182099494202</v>
      </c>
      <c r="O28" s="144">
        <f t="shared" si="4"/>
        <v>13.991760597512025</v>
      </c>
      <c r="P28" s="144">
        <f t="shared" si="5"/>
        <v>78.021114245591363</v>
      </c>
      <c r="Q28" s="144">
        <f t="shared" si="6"/>
        <v>65.682981843488633</v>
      </c>
      <c r="R28" s="144">
        <f t="shared" si="7"/>
        <v>50.841494028608004</v>
      </c>
    </row>
    <row r="29" spans="4:18" x14ac:dyDescent="0.25">
      <c r="D29" s="66">
        <v>48144.670000000006</v>
      </c>
      <c r="E29" s="66">
        <v>47197.71</v>
      </c>
      <c r="F29" s="66">
        <v>39175.15</v>
      </c>
      <c r="G29" s="66">
        <v>29447.530000000002</v>
      </c>
      <c r="H29" s="66">
        <v>100176.93000000001</v>
      </c>
      <c r="I29" s="66">
        <v>78470</v>
      </c>
      <c r="J29" s="66">
        <v>70771.960000000006</v>
      </c>
      <c r="L29" s="144">
        <f t="shared" si="1"/>
        <v>29.915785353001855</v>
      </c>
      <c r="M29" s="144">
        <f t="shared" si="2"/>
        <v>29.327370226303952</v>
      </c>
      <c r="N29" s="144">
        <f t="shared" si="3"/>
        <v>24.342370164166677</v>
      </c>
      <c r="O29" s="144">
        <f t="shared" si="4"/>
        <v>18.297892303677287</v>
      </c>
      <c r="P29" s="144">
        <f t="shared" si="5"/>
        <v>62.247213143276134</v>
      </c>
      <c r="Q29" s="144">
        <f t="shared" si="6"/>
        <v>48.759118644910338</v>
      </c>
      <c r="R29" s="144">
        <f t="shared" si="7"/>
        <v>43.975766463270666</v>
      </c>
    </row>
    <row r="30" spans="4:18" x14ac:dyDescent="0.25">
      <c r="D30" s="67"/>
      <c r="E30" s="67"/>
      <c r="F30" s="67"/>
      <c r="G30" s="67"/>
      <c r="H30" s="67"/>
      <c r="I30" s="67"/>
      <c r="J30" s="67"/>
      <c r="L30" s="145">
        <f t="shared" si="1"/>
        <v>0</v>
      </c>
      <c r="M30" s="145">
        <f t="shared" si="2"/>
        <v>0</v>
      </c>
      <c r="N30" s="145">
        <f t="shared" si="3"/>
        <v>0</v>
      </c>
      <c r="O30" s="145">
        <f t="shared" si="4"/>
        <v>0</v>
      </c>
      <c r="P30" s="145">
        <f t="shared" si="5"/>
        <v>0</v>
      </c>
      <c r="Q30" s="145">
        <f t="shared" si="6"/>
        <v>0</v>
      </c>
      <c r="R30" s="145">
        <f t="shared" si="7"/>
        <v>0</v>
      </c>
    </row>
    <row r="31" spans="4:18" x14ac:dyDescent="0.25">
      <c r="D31" s="82">
        <v>45764.939999999995</v>
      </c>
      <c r="E31" s="82">
        <v>47749.38</v>
      </c>
      <c r="F31" s="82">
        <v>33120</v>
      </c>
      <c r="G31" s="82">
        <v>24859.32</v>
      </c>
      <c r="H31" s="82">
        <v>138621</v>
      </c>
      <c r="I31" s="82">
        <v>116699.7</v>
      </c>
      <c r="J31" s="82">
        <v>90330.659999999989</v>
      </c>
      <c r="L31" s="144">
        <f t="shared" si="1"/>
        <v>28.437086010414205</v>
      </c>
      <c r="M31" s="144">
        <f t="shared" si="2"/>
        <v>29.670162923931549</v>
      </c>
      <c r="N31" s="144">
        <f t="shared" si="3"/>
        <v>20.5798650378416</v>
      </c>
      <c r="O31" s="144">
        <f t="shared" si="4"/>
        <v>15.446903699653275</v>
      </c>
      <c r="P31" s="144">
        <f t="shared" si="5"/>
        <v>86.135310127132868</v>
      </c>
      <c r="Q31" s="144">
        <f t="shared" si="6"/>
        <v>72.514011955211458</v>
      </c>
      <c r="R31" s="144">
        <f t="shared" si="7"/>
        <v>56.129009407583226</v>
      </c>
    </row>
    <row r="32" spans="4:18" x14ac:dyDescent="0.25">
      <c r="D32" s="1">
        <v>39052.199999999997</v>
      </c>
      <c r="E32" s="1">
        <v>37816.339999999997</v>
      </c>
      <c r="F32" s="1">
        <v>33576.839999999997</v>
      </c>
      <c r="G32" s="1">
        <v>25197.88</v>
      </c>
      <c r="H32" s="1">
        <v>83240.599999999991</v>
      </c>
      <c r="I32" s="1">
        <v>67251.28</v>
      </c>
      <c r="J32" s="1">
        <v>54235.1</v>
      </c>
      <c r="L32" s="144">
        <f t="shared" si="1"/>
        <v>24.265972386195582</v>
      </c>
      <c r="M32" s="144">
        <f t="shared" si="2"/>
        <v>23.498042675879553</v>
      </c>
      <c r="N32" s="144">
        <f t="shared" si="3"/>
        <v>20.863732958852697</v>
      </c>
      <c r="O32" s="144">
        <f t="shared" si="4"/>
        <v>15.657275653373434</v>
      </c>
      <c r="P32" s="144">
        <f t="shared" si="5"/>
        <v>51.723439422371904</v>
      </c>
      <c r="Q32" s="144">
        <f t="shared" si="6"/>
        <v>41.78811189680242</v>
      </c>
      <c r="R32" s="144">
        <f t="shared" si="7"/>
        <v>33.700212509475932</v>
      </c>
    </row>
    <row r="33" spans="4:18" x14ac:dyDescent="0.25">
      <c r="D33" s="82">
        <v>45764.939999999995</v>
      </c>
      <c r="E33" s="82">
        <v>47749.38</v>
      </c>
      <c r="F33" s="82">
        <v>33120</v>
      </c>
      <c r="G33" s="82">
        <v>24859.32</v>
      </c>
      <c r="H33" s="82">
        <v>138621</v>
      </c>
      <c r="I33" s="82">
        <v>116699.7</v>
      </c>
      <c r="J33" s="82">
        <v>90330.659999999989</v>
      </c>
      <c r="L33" s="144">
        <f t="shared" si="1"/>
        <v>28.437086010414205</v>
      </c>
      <c r="M33" s="144">
        <f t="shared" si="2"/>
        <v>29.670162923931549</v>
      </c>
      <c r="N33" s="144">
        <f t="shared" si="3"/>
        <v>20.5798650378416</v>
      </c>
      <c r="O33" s="144">
        <f t="shared" si="4"/>
        <v>15.446903699653275</v>
      </c>
      <c r="P33" s="144">
        <f t="shared" si="5"/>
        <v>86.135310127132868</v>
      </c>
      <c r="Q33" s="144">
        <f t="shared" si="6"/>
        <v>72.514011955211458</v>
      </c>
      <c r="R33" s="144">
        <f t="shared" si="7"/>
        <v>56.129009407583226</v>
      </c>
    </row>
    <row r="34" spans="4:18" x14ac:dyDescent="0.25">
      <c r="D34" s="66">
        <v>50678.6</v>
      </c>
      <c r="E34" s="66">
        <v>49681.799999999996</v>
      </c>
      <c r="F34" s="66">
        <v>41237</v>
      </c>
      <c r="G34" s="66">
        <v>30997.399999999998</v>
      </c>
      <c r="H34" s="66">
        <v>105449.4</v>
      </c>
      <c r="I34" s="66">
        <v>82600</v>
      </c>
      <c r="J34" s="66">
        <v>74496.799999999988</v>
      </c>
      <c r="L34" s="144">
        <f t="shared" si="1"/>
        <v>31.490300371580897</v>
      </c>
      <c r="M34" s="144">
        <f t="shared" si="2"/>
        <v>30.870916027688367</v>
      </c>
      <c r="N34" s="144">
        <f t="shared" si="3"/>
        <v>25.623547541228081</v>
      </c>
      <c r="O34" s="144">
        <f t="shared" si="4"/>
        <v>19.260939267028718</v>
      </c>
      <c r="P34" s="144">
        <f t="shared" si="5"/>
        <v>65.523382256080126</v>
      </c>
      <c r="Q34" s="144">
        <f t="shared" si="6"/>
        <v>51.325388047274039</v>
      </c>
      <c r="R34" s="144">
        <f t="shared" si="7"/>
        <v>46.29028048765332</v>
      </c>
    </row>
    <row r="35" spans="4:18" x14ac:dyDescent="0.25">
      <c r="D35" s="67"/>
      <c r="E35" s="67"/>
      <c r="F35" s="67"/>
      <c r="G35" s="67"/>
      <c r="H35" s="67"/>
      <c r="I35" s="67"/>
      <c r="J35" s="67"/>
      <c r="L35" s="145">
        <f t="shared" si="1"/>
        <v>0</v>
      </c>
      <c r="M35" s="145">
        <f t="shared" si="2"/>
        <v>0</v>
      </c>
      <c r="N35" s="145">
        <f t="shared" si="3"/>
        <v>0</v>
      </c>
      <c r="O35" s="145">
        <f t="shared" si="4"/>
        <v>0</v>
      </c>
      <c r="P35" s="145">
        <f t="shared" si="5"/>
        <v>0</v>
      </c>
      <c r="Q35" s="145">
        <f t="shared" si="6"/>
        <v>0</v>
      </c>
      <c r="R35" s="145">
        <f t="shared" si="7"/>
        <v>0</v>
      </c>
    </row>
    <row r="36" spans="4:18" x14ac:dyDescent="0.25">
      <c r="D36" s="75"/>
      <c r="E36" s="55"/>
      <c r="F36" s="55"/>
      <c r="G36" s="55"/>
      <c r="H36" s="55"/>
      <c r="I36" s="55"/>
      <c r="J36" s="55"/>
    </row>
    <row r="37" spans="4:18" x14ac:dyDescent="0.25">
      <c r="D37" s="75"/>
      <c r="E37" s="32"/>
      <c r="F37" s="32"/>
      <c r="G37" s="32"/>
      <c r="H37" s="32"/>
      <c r="I37" s="32"/>
      <c r="J37" s="32"/>
    </row>
    <row r="38" spans="4:18" x14ac:dyDescent="0.25">
      <c r="D38" s="82">
        <v>60250</v>
      </c>
      <c r="E38" s="82">
        <v>54600</v>
      </c>
      <c r="F38" s="82">
        <v>36800</v>
      </c>
      <c r="G38" s="82">
        <v>25600</v>
      </c>
      <c r="H38" s="82">
        <v>200121</v>
      </c>
      <c r="I38" s="82">
        <v>124545</v>
      </c>
      <c r="J38" s="82">
        <v>185666</v>
      </c>
      <c r="L38" s="144">
        <f t="shared" si="1"/>
        <v>37.437707383150858</v>
      </c>
      <c r="M38" s="144">
        <f t="shared" si="2"/>
        <v>33.926951421079451</v>
      </c>
      <c r="N38" s="144">
        <f t="shared" si="3"/>
        <v>22.86651670871289</v>
      </c>
      <c r="O38" s="144">
        <f t="shared" si="4"/>
        <v>15.907142058235054</v>
      </c>
      <c r="P38" s="144">
        <f t="shared" si="5"/>
        <v>124.34973343109598</v>
      </c>
      <c r="Q38" s="144">
        <f t="shared" si="6"/>
        <v>77.388867486050188</v>
      </c>
      <c r="R38" s="144">
        <f t="shared" si="7"/>
        <v>115.36779052282303</v>
      </c>
    </row>
    <row r="39" spans="4:18" x14ac:dyDescent="0.25">
      <c r="D39" s="1">
        <v>46251</v>
      </c>
      <c r="E39" s="1">
        <v>30120</v>
      </c>
      <c r="F39" s="1">
        <v>31200</v>
      </c>
      <c r="G39" s="1">
        <v>21000</v>
      </c>
      <c r="H39" s="1">
        <v>74545</v>
      </c>
      <c r="I39" s="1">
        <v>65452</v>
      </c>
      <c r="J39" s="1">
        <v>78452</v>
      </c>
      <c r="L39" s="144">
        <f t="shared" si="1"/>
        <v>28.739110442790214</v>
      </c>
      <c r="M39" s="144">
        <f t="shared" si="2"/>
        <v>18.715746827892179</v>
      </c>
      <c r="N39" s="144">
        <f t="shared" si="3"/>
        <v>19.386829383473973</v>
      </c>
      <c r="O39" s="144">
        <f t="shared" si="4"/>
        <v>13.048827469645943</v>
      </c>
      <c r="P39" s="144">
        <f t="shared" si="5"/>
        <v>46.320230653559847</v>
      </c>
      <c r="Q39" s="144">
        <f t="shared" si="6"/>
        <v>40.670088359203156</v>
      </c>
      <c r="R39" s="144">
        <f t="shared" si="7"/>
        <v>48.747933935650643</v>
      </c>
    </row>
    <row r="40" spans="4:18" x14ac:dyDescent="0.25">
      <c r="D40" s="82">
        <v>60250</v>
      </c>
      <c r="E40" s="82">
        <v>54600</v>
      </c>
      <c r="F40" s="82">
        <v>36800</v>
      </c>
      <c r="G40" s="82">
        <v>25600</v>
      </c>
      <c r="H40" s="82">
        <v>200121</v>
      </c>
      <c r="I40" s="82">
        <v>124545</v>
      </c>
      <c r="J40" s="82">
        <v>185666</v>
      </c>
      <c r="L40" s="144">
        <f t="shared" si="1"/>
        <v>37.437707383150858</v>
      </c>
      <c r="M40" s="144">
        <f t="shared" si="2"/>
        <v>33.926951421079451</v>
      </c>
      <c r="N40" s="144">
        <f t="shared" si="3"/>
        <v>22.86651670871289</v>
      </c>
      <c r="O40" s="144">
        <f t="shared" si="4"/>
        <v>15.907142058235054</v>
      </c>
      <c r="P40" s="144">
        <f t="shared" si="5"/>
        <v>124.34973343109598</v>
      </c>
      <c r="Q40" s="144">
        <f t="shared" si="6"/>
        <v>77.388867486050188</v>
      </c>
      <c r="R40" s="144">
        <f t="shared" si="7"/>
        <v>115.36779052282303</v>
      </c>
    </row>
    <row r="41" spans="4:18" x14ac:dyDescent="0.25">
      <c r="D41" s="66">
        <v>56564</v>
      </c>
      <c r="E41" s="66">
        <v>35465</v>
      </c>
      <c r="F41" s="66">
        <v>32555</v>
      </c>
      <c r="G41" s="66">
        <v>22212</v>
      </c>
      <c r="H41" s="66">
        <v>84574</v>
      </c>
      <c r="I41" s="66">
        <v>78565</v>
      </c>
      <c r="J41" s="66">
        <v>94567</v>
      </c>
      <c r="L41" s="144">
        <f t="shared" si="1"/>
        <v>35.147327475859669</v>
      </c>
      <c r="M41" s="144">
        <f t="shared" si="2"/>
        <v>22.036984105285399</v>
      </c>
      <c r="N41" s="144">
        <f t="shared" si="3"/>
        <v>20.228789441634461</v>
      </c>
      <c r="O41" s="144">
        <f t="shared" si="4"/>
        <v>13.801931226465509</v>
      </c>
      <c r="P41" s="144">
        <f t="shared" si="5"/>
        <v>52.551977829420757</v>
      </c>
      <c r="Q41" s="144">
        <f t="shared" si="6"/>
        <v>48.818149054892068</v>
      </c>
      <c r="R41" s="144">
        <f t="shared" si="7"/>
        <v>58.761355586762278</v>
      </c>
    </row>
    <row r="42" spans="4:18" x14ac:dyDescent="0.25">
      <c r="D42" s="67"/>
      <c r="E42" s="67"/>
      <c r="F42" s="67"/>
      <c r="G42" s="67"/>
      <c r="H42" s="67"/>
      <c r="I42" s="67"/>
      <c r="J42" s="67"/>
      <c r="L42" s="145">
        <f t="shared" si="1"/>
        <v>0</v>
      </c>
      <c r="M42" s="145">
        <f t="shared" si="2"/>
        <v>0</v>
      </c>
      <c r="N42" s="145">
        <f t="shared" si="3"/>
        <v>0</v>
      </c>
      <c r="O42" s="145">
        <f t="shared" si="4"/>
        <v>0</v>
      </c>
      <c r="P42" s="145">
        <f t="shared" si="5"/>
        <v>0</v>
      </c>
      <c r="Q42" s="145">
        <f t="shared" si="6"/>
        <v>0</v>
      </c>
      <c r="R42" s="145">
        <f t="shared" si="7"/>
        <v>0</v>
      </c>
    </row>
    <row r="43" spans="4:18" x14ac:dyDescent="0.25">
      <c r="D43" s="82">
        <v>75312.5</v>
      </c>
      <c r="E43" s="82">
        <v>68250</v>
      </c>
      <c r="F43" s="82">
        <v>46000</v>
      </c>
      <c r="G43" s="82">
        <v>32000</v>
      </c>
      <c r="H43" s="82">
        <v>250151.25</v>
      </c>
      <c r="I43" s="82">
        <v>155681.25</v>
      </c>
      <c r="J43" s="82">
        <v>232082.5</v>
      </c>
      <c r="L43" s="144">
        <f t="shared" si="1"/>
        <v>46.797134228938575</v>
      </c>
      <c r="M43" s="144">
        <f t="shared" si="2"/>
        <v>42.408689276349314</v>
      </c>
      <c r="N43" s="144">
        <f t="shared" si="3"/>
        <v>28.583145885891113</v>
      </c>
      <c r="O43" s="144">
        <f t="shared" si="4"/>
        <v>19.883927572793816</v>
      </c>
      <c r="P43" s="144">
        <f t="shared" si="5"/>
        <v>155.43716678886997</v>
      </c>
      <c r="Q43" s="144">
        <f t="shared" si="6"/>
        <v>96.736084357562731</v>
      </c>
      <c r="R43" s="144">
        <f t="shared" si="7"/>
        <v>144.20973815352878</v>
      </c>
    </row>
    <row r="44" spans="4:18" x14ac:dyDescent="0.25">
      <c r="D44" s="1">
        <v>54576.18</v>
      </c>
      <c r="E44" s="1">
        <v>35541.599999999999</v>
      </c>
      <c r="F44" s="1">
        <v>36816</v>
      </c>
      <c r="G44" s="1">
        <v>24780</v>
      </c>
      <c r="H44" s="1">
        <v>87963.099999999991</v>
      </c>
      <c r="I44" s="1">
        <v>77233.36</v>
      </c>
      <c r="J44" s="1">
        <v>92573.36</v>
      </c>
      <c r="L44" s="144">
        <f t="shared" si="1"/>
        <v>33.912150322492451</v>
      </c>
      <c r="M44" s="144">
        <f t="shared" si="2"/>
        <v>22.08458125691277</v>
      </c>
      <c r="N44" s="144">
        <f t="shared" si="3"/>
        <v>22.876458672499286</v>
      </c>
      <c r="O44" s="144">
        <f t="shared" si="4"/>
        <v>15.397616414182211</v>
      </c>
      <c r="P44" s="144">
        <f t="shared" si="5"/>
        <v>54.657872171200616</v>
      </c>
      <c r="Q44" s="144">
        <f t="shared" si="6"/>
        <v>47.990704263859719</v>
      </c>
      <c r="R44" s="144">
        <f t="shared" si="7"/>
        <v>57.522562044067755</v>
      </c>
    </row>
    <row r="45" spans="4:18" x14ac:dyDescent="0.25">
      <c r="D45" s="82">
        <v>75312.5</v>
      </c>
      <c r="E45" s="82">
        <v>68250</v>
      </c>
      <c r="F45" s="82">
        <v>46000</v>
      </c>
      <c r="G45" s="82">
        <v>32000</v>
      </c>
      <c r="H45" s="82">
        <v>250151.25</v>
      </c>
      <c r="I45" s="82">
        <v>155681.25</v>
      </c>
      <c r="J45" s="82">
        <v>232082.5</v>
      </c>
      <c r="L45" s="144">
        <f t="shared" si="1"/>
        <v>46.797134228938575</v>
      </c>
      <c r="M45" s="144">
        <f t="shared" si="2"/>
        <v>42.408689276349314</v>
      </c>
      <c r="N45" s="144">
        <f t="shared" si="3"/>
        <v>28.583145885891113</v>
      </c>
      <c r="O45" s="144">
        <f t="shared" si="4"/>
        <v>19.883927572793816</v>
      </c>
      <c r="P45" s="144">
        <f t="shared" si="5"/>
        <v>155.43716678886997</v>
      </c>
      <c r="Q45" s="144">
        <f t="shared" si="6"/>
        <v>96.736084357562731</v>
      </c>
      <c r="R45" s="144">
        <f t="shared" si="7"/>
        <v>144.20973815352878</v>
      </c>
    </row>
    <row r="46" spans="4:18" x14ac:dyDescent="0.25">
      <c r="D46" s="66">
        <v>75230.12000000001</v>
      </c>
      <c r="E46" s="66">
        <v>47168.450000000004</v>
      </c>
      <c r="F46" s="66">
        <v>43298.15</v>
      </c>
      <c r="G46" s="66">
        <v>29541.960000000003</v>
      </c>
      <c r="H46" s="66">
        <v>112483.42000000001</v>
      </c>
      <c r="I46" s="66">
        <v>104491.45000000001</v>
      </c>
      <c r="J46" s="66">
        <v>125774.11</v>
      </c>
      <c r="L46" s="144">
        <f t="shared" si="1"/>
        <v>46.745945542893367</v>
      </c>
      <c r="M46" s="144">
        <f t="shared" si="2"/>
        <v>29.309188860029582</v>
      </c>
      <c r="N46" s="144">
        <f t="shared" si="3"/>
        <v>26.904289957373834</v>
      </c>
      <c r="O46" s="144">
        <f t="shared" si="4"/>
        <v>18.356568531199127</v>
      </c>
      <c r="P46" s="144">
        <f t="shared" si="5"/>
        <v>69.89413051312961</v>
      </c>
      <c r="Q46" s="144">
        <f t="shared" si="6"/>
        <v>64.928138243006458</v>
      </c>
      <c r="R46" s="144">
        <f t="shared" si="7"/>
        <v>78.152602930393826</v>
      </c>
    </row>
    <row r="47" spans="4:18" x14ac:dyDescent="0.25">
      <c r="D47" s="67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L47" s="145">
        <f t="shared" si="1"/>
        <v>0</v>
      </c>
      <c r="M47" s="145">
        <f t="shared" si="2"/>
        <v>0</v>
      </c>
      <c r="N47" s="145">
        <f t="shared" si="3"/>
        <v>0</v>
      </c>
      <c r="O47" s="145">
        <f t="shared" si="4"/>
        <v>0</v>
      </c>
      <c r="P47" s="145">
        <f t="shared" si="5"/>
        <v>0</v>
      </c>
      <c r="Q47" s="145">
        <f t="shared" si="6"/>
        <v>0</v>
      </c>
      <c r="R47" s="145">
        <f t="shared" si="7"/>
        <v>0</v>
      </c>
    </row>
    <row r="48" spans="4:18" x14ac:dyDescent="0.25">
      <c r="D48" s="82">
        <v>88868.75</v>
      </c>
      <c r="E48" s="82">
        <v>80535</v>
      </c>
      <c r="F48" s="82">
        <v>54280</v>
      </c>
      <c r="G48" s="82">
        <v>37760</v>
      </c>
      <c r="H48" s="82">
        <v>295178.47499999998</v>
      </c>
      <c r="I48" s="82">
        <v>183703.875</v>
      </c>
      <c r="J48" s="82">
        <v>273857.34999999998</v>
      </c>
      <c r="L48" s="144">
        <f t="shared" si="1"/>
        <v>55.220618390147514</v>
      </c>
      <c r="M48" s="144">
        <f t="shared" si="2"/>
        <v>50.042253346092188</v>
      </c>
      <c r="N48" s="144">
        <f t="shared" si="3"/>
        <v>33.72811214535151</v>
      </c>
      <c r="O48" s="144">
        <f t="shared" si="4"/>
        <v>23.463034535896703</v>
      </c>
      <c r="P48" s="144">
        <f t="shared" si="5"/>
        <v>183.41585681086656</v>
      </c>
      <c r="Q48" s="144">
        <f t="shared" si="6"/>
        <v>114.14857954192402</v>
      </c>
      <c r="R48" s="144">
        <f t="shared" si="7"/>
        <v>170.16749102116395</v>
      </c>
    </row>
    <row r="49" spans="4:18" x14ac:dyDescent="0.25">
      <c r="D49" s="1">
        <v>68220.225000000006</v>
      </c>
      <c r="E49" s="1">
        <v>44427</v>
      </c>
      <c r="F49" s="1">
        <v>46020</v>
      </c>
      <c r="G49" s="1">
        <v>30975</v>
      </c>
      <c r="H49" s="1">
        <v>109953.87499999999</v>
      </c>
      <c r="I49" s="1">
        <v>96541.7</v>
      </c>
      <c r="J49" s="1">
        <v>115716.7</v>
      </c>
      <c r="L49" s="144">
        <f t="shared" si="1"/>
        <v>42.390187903115567</v>
      </c>
      <c r="M49" s="144">
        <f t="shared" si="2"/>
        <v>27.605726571140966</v>
      </c>
      <c r="N49" s="144">
        <f t="shared" si="3"/>
        <v>28.595573340624107</v>
      </c>
      <c r="O49" s="144">
        <f t="shared" si="4"/>
        <v>19.247020517727766</v>
      </c>
      <c r="P49" s="144">
        <f t="shared" si="5"/>
        <v>68.322340214000761</v>
      </c>
      <c r="Q49" s="144">
        <f t="shared" si="6"/>
        <v>59.988380329824651</v>
      </c>
      <c r="R49" s="144">
        <f t="shared" si="7"/>
        <v>71.90320255508469</v>
      </c>
    </row>
    <row r="50" spans="4:18" x14ac:dyDescent="0.25">
      <c r="D50" s="82">
        <v>100165.625</v>
      </c>
      <c r="E50" s="82">
        <v>90772.5</v>
      </c>
      <c r="F50" s="82">
        <v>61180</v>
      </c>
      <c r="G50" s="82">
        <v>42560</v>
      </c>
      <c r="H50" s="82">
        <v>332701.16250000003</v>
      </c>
      <c r="I50" s="82">
        <v>207056.0625</v>
      </c>
      <c r="J50" s="82">
        <v>308669.72500000003</v>
      </c>
      <c r="L50" s="144">
        <f t="shared" si="1"/>
        <v>62.240188524488303</v>
      </c>
      <c r="M50" s="144">
        <f t="shared" si="2"/>
        <v>56.403556737544584</v>
      </c>
      <c r="N50" s="144">
        <f t="shared" si="3"/>
        <v>38.015584028235182</v>
      </c>
      <c r="O50" s="144">
        <f t="shared" si="4"/>
        <v>26.445623671815778</v>
      </c>
      <c r="P50" s="144">
        <f t="shared" si="5"/>
        <v>206.73143182919711</v>
      </c>
      <c r="Q50" s="144">
        <f t="shared" si="6"/>
        <v>128.65899219555843</v>
      </c>
      <c r="R50" s="144">
        <f t="shared" si="7"/>
        <v>191.79895174419332</v>
      </c>
    </row>
    <row r="51" spans="4:18" x14ac:dyDescent="0.25">
      <c r="D51" s="66">
        <v>94037.650000000009</v>
      </c>
      <c r="E51" s="66">
        <v>58960.562500000007</v>
      </c>
      <c r="F51" s="66">
        <v>54122.6875</v>
      </c>
      <c r="G51" s="66">
        <v>36927.450000000004</v>
      </c>
      <c r="H51" s="66">
        <v>140604.27500000002</v>
      </c>
      <c r="I51" s="66">
        <v>130614.31250000001</v>
      </c>
      <c r="J51" s="66">
        <v>157217.63750000001</v>
      </c>
      <c r="L51" s="144">
        <f t="shared" si="1"/>
        <v>58.432431928616708</v>
      </c>
      <c r="M51" s="144">
        <f t="shared" si="2"/>
        <v>36.636486075036977</v>
      </c>
      <c r="N51" s="144">
        <f t="shared" si="3"/>
        <v>33.630362446717292</v>
      </c>
      <c r="O51" s="144">
        <f t="shared" si="4"/>
        <v>22.945710663998909</v>
      </c>
      <c r="P51" s="144">
        <f t="shared" si="5"/>
        <v>87.367663141412024</v>
      </c>
      <c r="Q51" s="144">
        <f t="shared" si="6"/>
        <v>81.160172803758073</v>
      </c>
      <c r="R51" s="144">
        <f t="shared" si="7"/>
        <v>97.690753662992293</v>
      </c>
    </row>
    <row r="52" spans="4:18" x14ac:dyDescent="0.25">
      <c r="D52" s="67"/>
      <c r="E52" s="67"/>
      <c r="F52" s="67"/>
      <c r="G52" s="67"/>
      <c r="H52" s="67"/>
      <c r="I52" s="67"/>
      <c r="J52" s="67"/>
      <c r="L52" s="145">
        <f t="shared" si="1"/>
        <v>0</v>
      </c>
      <c r="M52" s="145">
        <f t="shared" si="2"/>
        <v>0</v>
      </c>
      <c r="N52" s="145">
        <f t="shared" si="3"/>
        <v>0</v>
      </c>
      <c r="O52" s="145">
        <f t="shared" si="4"/>
        <v>0</v>
      </c>
      <c r="P52" s="145">
        <f t="shared" si="5"/>
        <v>0</v>
      </c>
      <c r="Q52" s="145">
        <f t="shared" si="6"/>
        <v>0</v>
      </c>
      <c r="R52" s="145">
        <f t="shared" si="7"/>
        <v>0</v>
      </c>
    </row>
  </sheetData>
  <mergeCells count="2">
    <mergeCell ref="D2:J2"/>
    <mergeCell ref="L2:R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5"/>
  <sheetViews>
    <sheetView topLeftCell="A3" zoomScale="95" zoomScaleNormal="95" workbookViewId="0">
      <selection activeCell="U15" sqref="U15"/>
    </sheetView>
  </sheetViews>
  <sheetFormatPr defaultRowHeight="15" x14ac:dyDescent="0.25"/>
  <sheetData>
    <row r="2" spans="2:18" ht="23.25" x14ac:dyDescent="0.35">
      <c r="F2" s="178" t="s">
        <v>35</v>
      </c>
      <c r="G2" s="178"/>
      <c r="H2" s="178"/>
      <c r="I2" s="178"/>
      <c r="J2" s="178"/>
      <c r="K2" s="178"/>
    </row>
    <row r="4" spans="2:18" ht="18.75" x14ac:dyDescent="0.3">
      <c r="F4" s="15"/>
      <c r="G4" s="15"/>
      <c r="H4" s="15"/>
      <c r="J4" s="16"/>
      <c r="K4" s="17"/>
    </row>
    <row r="5" spans="2:18" ht="34.5" x14ac:dyDescent="0.25">
      <c r="B5" s="18"/>
      <c r="C5" s="19" t="s">
        <v>31</v>
      </c>
      <c r="D5" s="129" t="s">
        <v>1</v>
      </c>
      <c r="E5" s="129" t="s">
        <v>34</v>
      </c>
      <c r="F5" s="129" t="s">
        <v>3</v>
      </c>
      <c r="G5" s="129" t="s">
        <v>34</v>
      </c>
      <c r="H5" s="129" t="s">
        <v>5</v>
      </c>
      <c r="I5" s="129" t="s">
        <v>6</v>
      </c>
      <c r="J5" s="130" t="s">
        <v>7</v>
      </c>
      <c r="K5" s="131"/>
      <c r="L5" s="132" t="s">
        <v>1</v>
      </c>
      <c r="M5" s="129" t="s">
        <v>34</v>
      </c>
      <c r="N5" s="129" t="s">
        <v>3</v>
      </c>
      <c r="O5" s="129" t="s">
        <v>34</v>
      </c>
      <c r="P5" s="129" t="s">
        <v>5</v>
      </c>
      <c r="Q5" s="129" t="s">
        <v>6</v>
      </c>
      <c r="R5" s="130" t="s">
        <v>7</v>
      </c>
    </row>
    <row r="6" spans="2:18" x14ac:dyDescent="0.25">
      <c r="B6" s="20"/>
      <c r="C6" s="21" t="s">
        <v>32</v>
      </c>
      <c r="D6" s="22"/>
      <c r="E6" s="22"/>
      <c r="F6" s="22"/>
      <c r="G6" s="23" t="s">
        <v>36</v>
      </c>
      <c r="H6" s="24"/>
      <c r="I6" s="24"/>
      <c r="J6" s="25"/>
      <c r="K6" s="26"/>
      <c r="L6" s="27"/>
      <c r="M6" s="28"/>
      <c r="N6" s="28"/>
      <c r="O6" s="29" t="s">
        <v>41</v>
      </c>
      <c r="P6" s="30"/>
      <c r="Q6" s="30"/>
      <c r="R6" s="31"/>
    </row>
    <row r="7" spans="2:18" x14ac:dyDescent="0.25">
      <c r="B7" s="179" t="s">
        <v>29</v>
      </c>
      <c r="C7" s="12" t="s">
        <v>9</v>
      </c>
      <c r="D7" s="32">
        <v>182.4</v>
      </c>
      <c r="E7" s="32">
        <v>316.7</v>
      </c>
      <c r="F7" s="32">
        <v>1351.5</v>
      </c>
      <c r="G7" s="32">
        <v>320</v>
      </c>
      <c r="H7" s="32">
        <v>529.4</v>
      </c>
      <c r="I7" s="32">
        <v>565.20000000000005</v>
      </c>
      <c r="J7" s="33">
        <v>578.5</v>
      </c>
      <c r="K7" s="34"/>
      <c r="L7" s="35">
        <f>D7*0.62</f>
        <v>113.08800000000001</v>
      </c>
      <c r="M7" s="36">
        <f t="shared" ref="M7:R9" si="0">E7*0.62</f>
        <v>196.35399999999998</v>
      </c>
      <c r="N7" s="36">
        <f t="shared" si="0"/>
        <v>837.93</v>
      </c>
      <c r="O7" s="36">
        <f t="shared" si="0"/>
        <v>198.4</v>
      </c>
      <c r="P7" s="36">
        <f t="shared" si="0"/>
        <v>328.22800000000001</v>
      </c>
      <c r="Q7" s="36">
        <f t="shared" si="0"/>
        <v>350.42400000000004</v>
      </c>
      <c r="R7" s="37">
        <f t="shared" si="0"/>
        <v>358.67</v>
      </c>
    </row>
    <row r="8" spans="2:18" x14ac:dyDescent="0.25">
      <c r="B8" s="179"/>
      <c r="C8" s="12" t="s">
        <v>10</v>
      </c>
      <c r="D8" s="32">
        <v>490</v>
      </c>
      <c r="E8" s="32">
        <v>915</v>
      </c>
      <c r="F8" s="32">
        <v>728</v>
      </c>
      <c r="G8" s="32">
        <v>920</v>
      </c>
      <c r="H8" s="32">
        <v>532</v>
      </c>
      <c r="I8" s="32">
        <v>568</v>
      </c>
      <c r="J8" s="33">
        <v>581</v>
      </c>
      <c r="K8" s="34"/>
      <c r="L8" s="35">
        <f t="shared" ref="L8:L9" si="1">D8*0.62</f>
        <v>303.8</v>
      </c>
      <c r="M8" s="36">
        <f t="shared" si="0"/>
        <v>567.29999999999995</v>
      </c>
      <c r="N8" s="36">
        <f t="shared" si="0"/>
        <v>451.36</v>
      </c>
      <c r="O8" s="36">
        <f t="shared" si="0"/>
        <v>570.4</v>
      </c>
      <c r="P8" s="36">
        <f t="shared" si="0"/>
        <v>329.84</v>
      </c>
      <c r="Q8" s="36">
        <f t="shared" si="0"/>
        <v>352.16</v>
      </c>
      <c r="R8" s="37">
        <f t="shared" si="0"/>
        <v>360.21999999999997</v>
      </c>
    </row>
    <row r="9" spans="2:18" x14ac:dyDescent="0.25">
      <c r="B9" s="180"/>
      <c r="C9" s="38" t="s">
        <v>33</v>
      </c>
      <c r="D9" s="39">
        <v>187.2</v>
      </c>
      <c r="E9" s="39">
        <v>366.7</v>
      </c>
      <c r="F9" s="39">
        <v>1401.5</v>
      </c>
      <c r="G9" s="39">
        <v>371</v>
      </c>
      <c r="H9" s="39">
        <v>579.4</v>
      </c>
      <c r="I9" s="39">
        <v>615.20000000000005</v>
      </c>
      <c r="J9" s="40">
        <v>628.5</v>
      </c>
      <c r="K9" s="41"/>
      <c r="L9" s="42">
        <f t="shared" si="1"/>
        <v>116.06399999999999</v>
      </c>
      <c r="M9" s="43">
        <f t="shared" si="0"/>
        <v>227.35399999999998</v>
      </c>
      <c r="N9" s="43">
        <f t="shared" si="0"/>
        <v>868.93</v>
      </c>
      <c r="O9" s="43">
        <f t="shared" si="0"/>
        <v>230.02</v>
      </c>
      <c r="P9" s="43">
        <f t="shared" si="0"/>
        <v>359.22800000000001</v>
      </c>
      <c r="Q9" s="43">
        <f t="shared" si="0"/>
        <v>381.42400000000004</v>
      </c>
      <c r="R9" s="44">
        <f t="shared" si="0"/>
        <v>389.67</v>
      </c>
    </row>
    <row r="10" spans="2:18" x14ac:dyDescent="0.25">
      <c r="B10" s="20"/>
      <c r="C10" s="45"/>
      <c r="D10" s="32"/>
      <c r="E10" s="32"/>
      <c r="F10" s="46"/>
      <c r="G10" s="46" t="s">
        <v>37</v>
      </c>
      <c r="H10" s="46"/>
      <c r="I10" s="46"/>
      <c r="J10" s="47"/>
      <c r="K10" s="26"/>
      <c r="L10" s="27"/>
      <c r="M10" s="28"/>
      <c r="N10" s="181" t="s">
        <v>38</v>
      </c>
      <c r="O10" s="181"/>
      <c r="P10" s="181"/>
      <c r="Q10" s="181"/>
      <c r="R10" s="31"/>
    </row>
    <row r="11" spans="2:18" x14ac:dyDescent="0.25">
      <c r="B11" s="179" t="s">
        <v>30</v>
      </c>
      <c r="C11" s="49" t="s">
        <v>9</v>
      </c>
      <c r="D11" s="32">
        <v>390.1</v>
      </c>
      <c r="E11" s="32">
        <v>589.1</v>
      </c>
      <c r="F11" s="32">
        <v>2314.1</v>
      </c>
      <c r="G11" s="32">
        <v>589.1</v>
      </c>
      <c r="H11" s="32">
        <v>954.2</v>
      </c>
      <c r="I11" s="32">
        <v>1035.7</v>
      </c>
      <c r="J11" s="33">
        <v>1035.7</v>
      </c>
      <c r="K11" s="22"/>
      <c r="L11" s="35">
        <f t="shared" ref="L11:R13" si="2">D11*0.75</f>
        <v>292.57500000000005</v>
      </c>
      <c r="M11" s="36">
        <f t="shared" si="2"/>
        <v>441.82500000000005</v>
      </c>
      <c r="N11" s="36">
        <f t="shared" si="2"/>
        <v>1735.5749999999998</v>
      </c>
      <c r="O11" s="36">
        <f t="shared" si="2"/>
        <v>441.82500000000005</v>
      </c>
      <c r="P11" s="36">
        <f t="shared" si="2"/>
        <v>715.65000000000009</v>
      </c>
      <c r="Q11" s="36">
        <f t="shared" si="2"/>
        <v>776.77500000000009</v>
      </c>
      <c r="R11" s="37">
        <f t="shared" si="2"/>
        <v>776.77500000000009</v>
      </c>
    </row>
    <row r="12" spans="2:18" x14ac:dyDescent="0.25">
      <c r="B12" s="179"/>
      <c r="C12" s="49" t="s">
        <v>10</v>
      </c>
      <c r="D12" s="50">
        <v>871.3</v>
      </c>
      <c r="E12" s="32">
        <v>1596.1</v>
      </c>
      <c r="F12" s="32">
        <v>1278.2</v>
      </c>
      <c r="G12" s="32">
        <v>750.1</v>
      </c>
      <c r="H12" s="32">
        <v>1154.2</v>
      </c>
      <c r="I12" s="32">
        <v>1035.7</v>
      </c>
      <c r="J12" s="33">
        <v>1035.7</v>
      </c>
      <c r="K12" s="22"/>
      <c r="L12" s="35">
        <f t="shared" si="2"/>
        <v>653.47499999999991</v>
      </c>
      <c r="M12" s="36">
        <f t="shared" si="2"/>
        <v>1197.0749999999998</v>
      </c>
      <c r="N12" s="36">
        <f t="shared" si="2"/>
        <v>958.65000000000009</v>
      </c>
      <c r="O12" s="36">
        <f t="shared" si="2"/>
        <v>562.57500000000005</v>
      </c>
      <c r="P12" s="36">
        <f t="shared" si="2"/>
        <v>865.65000000000009</v>
      </c>
      <c r="Q12" s="36">
        <f t="shared" si="2"/>
        <v>776.77500000000009</v>
      </c>
      <c r="R12" s="37">
        <f t="shared" si="2"/>
        <v>776.77500000000009</v>
      </c>
    </row>
    <row r="13" spans="2:18" x14ac:dyDescent="0.25">
      <c r="B13" s="180"/>
      <c r="C13" s="38" t="s">
        <v>33</v>
      </c>
      <c r="D13" s="51">
        <v>390.1</v>
      </c>
      <c r="E13" s="39">
        <v>688.7</v>
      </c>
      <c r="F13" s="39">
        <v>2472.8000000000002</v>
      </c>
      <c r="G13" s="39">
        <v>668</v>
      </c>
      <c r="H13" s="39">
        <v>1035.7</v>
      </c>
      <c r="I13" s="39">
        <v>1116.5</v>
      </c>
      <c r="J13" s="40">
        <v>1116.5</v>
      </c>
      <c r="K13" s="52"/>
      <c r="L13" s="42">
        <f t="shared" si="2"/>
        <v>292.57500000000005</v>
      </c>
      <c r="M13" s="43">
        <f t="shared" si="2"/>
        <v>516.52500000000009</v>
      </c>
      <c r="N13" s="43">
        <f t="shared" si="2"/>
        <v>1854.6000000000001</v>
      </c>
      <c r="O13" s="43">
        <f t="shared" si="2"/>
        <v>501</v>
      </c>
      <c r="P13" s="43">
        <f t="shared" si="2"/>
        <v>776.77500000000009</v>
      </c>
      <c r="Q13" s="43">
        <f t="shared" si="2"/>
        <v>837.375</v>
      </c>
      <c r="R13" s="44">
        <f t="shared" si="2"/>
        <v>837.375</v>
      </c>
    </row>
    <row r="14" spans="2:18" x14ac:dyDescent="0.25">
      <c r="B14" s="22"/>
      <c r="C14" s="22"/>
      <c r="D14" s="53"/>
      <c r="E14" s="53"/>
      <c r="F14" s="53"/>
      <c r="G14" s="53"/>
      <c r="H14" s="53"/>
      <c r="I14" s="53"/>
      <c r="J14" s="53"/>
      <c r="K14" s="22"/>
      <c r="L14" s="54"/>
      <c r="M14" s="30"/>
      <c r="N14" s="176" t="s">
        <v>39</v>
      </c>
      <c r="O14" s="177"/>
      <c r="P14" s="177"/>
      <c r="Q14" s="177"/>
      <c r="R14" s="31"/>
    </row>
    <row r="15" spans="2:18" x14ac:dyDescent="0.25">
      <c r="B15" s="22"/>
      <c r="C15" s="55"/>
      <c r="D15" s="22"/>
      <c r="L15" s="35">
        <f>L11/60</f>
        <v>4.8762500000000006</v>
      </c>
      <c r="M15" s="36">
        <f t="shared" ref="M15:R15" si="3">M11/60</f>
        <v>7.3637500000000005</v>
      </c>
      <c r="N15" s="36">
        <f t="shared" si="3"/>
        <v>28.926249999999996</v>
      </c>
      <c r="O15" s="36">
        <f t="shared" si="3"/>
        <v>7.3637500000000005</v>
      </c>
      <c r="P15" s="36">
        <f t="shared" si="3"/>
        <v>11.927500000000002</v>
      </c>
      <c r="Q15" s="36">
        <f t="shared" si="3"/>
        <v>12.946250000000001</v>
      </c>
      <c r="R15" s="37">
        <f t="shared" si="3"/>
        <v>12.946250000000001</v>
      </c>
    </row>
    <row r="16" spans="2:18" x14ac:dyDescent="0.25">
      <c r="B16" s="22"/>
      <c r="C16" s="55"/>
      <c r="D16" s="22"/>
      <c r="L16" s="35">
        <f t="shared" ref="L16:R17" si="4">L12/60</f>
        <v>10.891249999999998</v>
      </c>
      <c r="M16" s="36">
        <f t="shared" si="4"/>
        <v>19.951249999999998</v>
      </c>
      <c r="N16" s="36">
        <f t="shared" si="4"/>
        <v>15.977500000000001</v>
      </c>
      <c r="O16" s="36">
        <f t="shared" si="4"/>
        <v>9.3762500000000006</v>
      </c>
      <c r="P16" s="36">
        <f t="shared" si="4"/>
        <v>14.427500000000002</v>
      </c>
      <c r="Q16" s="36">
        <f t="shared" si="4"/>
        <v>12.946250000000001</v>
      </c>
      <c r="R16" s="37">
        <f t="shared" si="4"/>
        <v>12.946250000000001</v>
      </c>
    </row>
    <row r="17" spans="2:18" x14ac:dyDescent="0.25">
      <c r="B17" s="22"/>
      <c r="C17" s="55"/>
      <c r="D17" s="22"/>
      <c r="L17" s="42">
        <f t="shared" si="4"/>
        <v>4.8762500000000006</v>
      </c>
      <c r="M17" s="43">
        <f t="shared" si="4"/>
        <v>8.6087500000000023</v>
      </c>
      <c r="N17" s="43">
        <f t="shared" si="4"/>
        <v>30.910000000000004</v>
      </c>
      <c r="O17" s="43">
        <f t="shared" si="4"/>
        <v>8.35</v>
      </c>
      <c r="P17" s="43">
        <f t="shared" si="4"/>
        <v>12.946250000000001</v>
      </c>
      <c r="Q17" s="43">
        <f t="shared" si="4"/>
        <v>13.956250000000001</v>
      </c>
      <c r="R17" s="44">
        <f t="shared" si="4"/>
        <v>13.956250000000001</v>
      </c>
    </row>
    <row r="18" spans="2:18" x14ac:dyDescent="0.25">
      <c r="D18" s="10"/>
      <c r="E18" s="10"/>
      <c r="F18" s="10"/>
      <c r="G18" s="10"/>
      <c r="H18" s="10"/>
      <c r="I18" s="10"/>
      <c r="J18" s="10"/>
      <c r="L18" s="54"/>
      <c r="M18" s="56"/>
      <c r="N18" s="176" t="s">
        <v>40</v>
      </c>
      <c r="O18" s="177"/>
      <c r="P18" s="177"/>
      <c r="Q18" s="177"/>
      <c r="R18" s="57"/>
    </row>
    <row r="19" spans="2:18" x14ac:dyDescent="0.25">
      <c r="L19" s="58">
        <f>L15*0.62</f>
        <v>3.0232750000000004</v>
      </c>
      <c r="M19" s="59">
        <f t="shared" ref="M19:R19" si="5">M15*0.62</f>
        <v>4.5655250000000001</v>
      </c>
      <c r="N19" s="59">
        <f t="shared" si="5"/>
        <v>17.934274999999996</v>
      </c>
      <c r="O19" s="59">
        <f t="shared" si="5"/>
        <v>4.5655250000000001</v>
      </c>
      <c r="P19" s="59">
        <f t="shared" si="5"/>
        <v>7.3950500000000012</v>
      </c>
      <c r="Q19" s="59">
        <f t="shared" si="5"/>
        <v>8.0266750000000009</v>
      </c>
      <c r="R19" s="60">
        <f t="shared" si="5"/>
        <v>8.0266750000000009</v>
      </c>
    </row>
    <row r="20" spans="2:18" x14ac:dyDescent="0.25">
      <c r="L20" s="58">
        <f t="shared" ref="L20:R21" si="6">L16*0.62</f>
        <v>6.7525749999999984</v>
      </c>
      <c r="M20" s="59">
        <f t="shared" si="6"/>
        <v>12.369774999999999</v>
      </c>
      <c r="N20" s="59">
        <f t="shared" si="6"/>
        <v>9.9060500000000005</v>
      </c>
      <c r="O20" s="59">
        <f t="shared" si="6"/>
        <v>5.813275</v>
      </c>
      <c r="P20" s="59">
        <f t="shared" si="6"/>
        <v>8.9450500000000019</v>
      </c>
      <c r="Q20" s="59">
        <f t="shared" si="6"/>
        <v>8.0266750000000009</v>
      </c>
      <c r="R20" s="60">
        <f t="shared" si="6"/>
        <v>8.0266750000000009</v>
      </c>
    </row>
    <row r="21" spans="2:18" x14ac:dyDescent="0.25">
      <c r="L21" s="61">
        <f t="shared" si="6"/>
        <v>3.0232750000000004</v>
      </c>
      <c r="M21" s="62">
        <f t="shared" si="6"/>
        <v>5.3374250000000014</v>
      </c>
      <c r="N21" s="62">
        <f t="shared" si="6"/>
        <v>19.164200000000001</v>
      </c>
      <c r="O21" s="62">
        <f t="shared" si="6"/>
        <v>5.1769999999999996</v>
      </c>
      <c r="P21" s="62">
        <f t="shared" si="6"/>
        <v>8.0266750000000009</v>
      </c>
      <c r="Q21" s="62">
        <f t="shared" si="6"/>
        <v>8.6528749999999999</v>
      </c>
      <c r="R21" s="63">
        <f t="shared" si="6"/>
        <v>8.6528749999999999</v>
      </c>
    </row>
    <row r="22" spans="2:18" x14ac:dyDescent="0.25">
      <c r="L22" s="133"/>
      <c r="M22" s="175" t="s">
        <v>83</v>
      </c>
      <c r="N22" s="175"/>
      <c r="O22" s="175"/>
      <c r="P22" s="175"/>
      <c r="Q22" s="175"/>
      <c r="R22" s="140"/>
    </row>
    <row r="23" spans="2:18" x14ac:dyDescent="0.25">
      <c r="L23" s="134">
        <f>L19/159</f>
        <v>1.9014308176100631E-2</v>
      </c>
      <c r="M23" s="135">
        <f t="shared" ref="M23:R23" si="7">M19/159</f>
        <v>2.8713993710691825E-2</v>
      </c>
      <c r="N23" s="135">
        <f t="shared" si="7"/>
        <v>0.11279418238993708</v>
      </c>
      <c r="O23" s="135">
        <f t="shared" si="7"/>
        <v>2.8713993710691825E-2</v>
      </c>
      <c r="P23" s="135">
        <f t="shared" si="7"/>
        <v>4.6509748427672963E-2</v>
      </c>
      <c r="Q23" s="135">
        <f t="shared" si="7"/>
        <v>5.0482232704402524E-2</v>
      </c>
      <c r="R23" s="136">
        <f t="shared" si="7"/>
        <v>5.0482232704402524E-2</v>
      </c>
    </row>
    <row r="24" spans="2:18" x14ac:dyDescent="0.25">
      <c r="L24" s="134">
        <f t="shared" ref="L24:R25" si="8">L20/159</f>
        <v>4.2469025157232693E-2</v>
      </c>
      <c r="M24" s="135">
        <f t="shared" si="8"/>
        <v>7.7797327044025144E-2</v>
      </c>
      <c r="N24" s="135">
        <f t="shared" si="8"/>
        <v>6.2302201257861636E-2</v>
      </c>
      <c r="O24" s="135">
        <f t="shared" si="8"/>
        <v>3.6561477987421383E-2</v>
      </c>
      <c r="P24" s="135">
        <f t="shared" si="8"/>
        <v>5.6258176100628943E-2</v>
      </c>
      <c r="Q24" s="135">
        <f t="shared" si="8"/>
        <v>5.0482232704402524E-2</v>
      </c>
      <c r="R24" s="136">
        <f t="shared" si="8"/>
        <v>5.0482232704402524E-2</v>
      </c>
    </row>
    <row r="25" spans="2:18" x14ac:dyDescent="0.25">
      <c r="L25" s="137">
        <f t="shared" si="8"/>
        <v>1.9014308176100631E-2</v>
      </c>
      <c r="M25" s="138">
        <f t="shared" si="8"/>
        <v>3.3568710691823905E-2</v>
      </c>
      <c r="N25" s="138">
        <f t="shared" si="8"/>
        <v>0.12052955974842768</v>
      </c>
      <c r="O25" s="138">
        <f t="shared" si="8"/>
        <v>3.2559748427672952E-2</v>
      </c>
      <c r="P25" s="138">
        <f t="shared" si="8"/>
        <v>5.0482232704402524E-2</v>
      </c>
      <c r="Q25" s="138">
        <f t="shared" si="8"/>
        <v>5.4420597484276731E-2</v>
      </c>
      <c r="R25" s="139">
        <f t="shared" si="8"/>
        <v>5.4420597484276731E-2</v>
      </c>
    </row>
  </sheetData>
  <mergeCells count="7">
    <mergeCell ref="M22:Q22"/>
    <mergeCell ref="N18:Q18"/>
    <mergeCell ref="F2:K2"/>
    <mergeCell ref="B7:B9"/>
    <mergeCell ref="N10:Q10"/>
    <mergeCell ref="B11:B13"/>
    <mergeCell ref="N14:Q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opLeftCell="A11" workbookViewId="0">
      <selection activeCell="H30" sqref="H30"/>
    </sheetView>
  </sheetViews>
  <sheetFormatPr defaultRowHeight="15" x14ac:dyDescent="0.25"/>
  <cols>
    <col min="2" max="3" width="13.42578125" customWidth="1"/>
    <col min="4" max="4" width="18.7109375" customWidth="1"/>
    <col min="5" max="5" width="41.42578125" customWidth="1"/>
  </cols>
  <sheetData>
    <row r="2" spans="1:8" x14ac:dyDescent="0.25">
      <c r="B2" s="115" t="s">
        <v>53</v>
      </c>
      <c r="C2" s="115" t="s">
        <v>62</v>
      </c>
      <c r="D2" s="115" t="s">
        <v>54</v>
      </c>
      <c r="E2" s="115" t="s">
        <v>55</v>
      </c>
      <c r="F2" s="128"/>
      <c r="G2" s="128"/>
      <c r="H2" s="128"/>
    </row>
    <row r="3" spans="1:8" x14ac:dyDescent="0.25">
      <c r="B3" s="123">
        <v>1</v>
      </c>
      <c r="C3" s="122" t="s">
        <v>64</v>
      </c>
      <c r="D3" s="117" t="s">
        <v>46</v>
      </c>
      <c r="E3" s="188" t="s">
        <v>68</v>
      </c>
      <c r="F3" s="188"/>
      <c r="G3" s="188"/>
      <c r="H3" s="188"/>
    </row>
    <row r="4" spans="1:8" ht="12.75" customHeight="1" x14ac:dyDescent="0.25">
      <c r="A4" s="118"/>
      <c r="B4" s="124">
        <v>2</v>
      </c>
      <c r="C4" s="122" t="s">
        <v>64</v>
      </c>
      <c r="D4" s="119" t="s">
        <v>47</v>
      </c>
      <c r="E4" s="188" t="s">
        <v>67</v>
      </c>
      <c r="F4" s="188"/>
      <c r="G4" s="188"/>
      <c r="H4" s="188"/>
    </row>
    <row r="5" spans="1:8" x14ac:dyDescent="0.25">
      <c r="B5" s="123">
        <v>3</v>
      </c>
      <c r="C5" s="122" t="s">
        <v>65</v>
      </c>
      <c r="D5" s="117" t="s">
        <v>46</v>
      </c>
      <c r="E5" s="188" t="s">
        <v>69</v>
      </c>
      <c r="F5" s="188"/>
      <c r="G5" s="188"/>
      <c r="H5" s="188"/>
    </row>
    <row r="6" spans="1:8" x14ac:dyDescent="0.25">
      <c r="B6" s="123">
        <v>4</v>
      </c>
      <c r="C6" s="122" t="s">
        <v>65</v>
      </c>
      <c r="D6" s="119" t="s">
        <v>47</v>
      </c>
      <c r="E6" s="188" t="s">
        <v>70</v>
      </c>
      <c r="F6" s="188"/>
      <c r="G6" s="188"/>
      <c r="H6" s="188"/>
    </row>
    <row r="7" spans="1:8" x14ac:dyDescent="0.25">
      <c r="B7" s="123">
        <v>5</v>
      </c>
      <c r="C7" s="122" t="s">
        <v>66</v>
      </c>
      <c r="D7" s="117" t="s">
        <v>46</v>
      </c>
      <c r="E7" s="188" t="s">
        <v>71</v>
      </c>
      <c r="F7" s="188"/>
      <c r="G7" s="188"/>
      <c r="H7" s="188"/>
    </row>
    <row r="8" spans="1:8" x14ac:dyDescent="0.25">
      <c r="B8" s="123">
        <v>6</v>
      </c>
      <c r="C8" s="122" t="s">
        <v>66</v>
      </c>
      <c r="D8" s="119" t="s">
        <v>47</v>
      </c>
      <c r="E8" s="188" t="s">
        <v>72</v>
      </c>
      <c r="F8" s="188"/>
      <c r="G8" s="188"/>
      <c r="H8" s="188"/>
    </row>
    <row r="9" spans="1:8" x14ac:dyDescent="0.25">
      <c r="D9" s="116"/>
    </row>
    <row r="10" spans="1:8" x14ac:dyDescent="0.25">
      <c r="B10" s="115" t="s">
        <v>56</v>
      </c>
      <c r="C10" s="115"/>
      <c r="D10" s="120"/>
    </row>
    <row r="11" spans="1:8" x14ac:dyDescent="0.25">
      <c r="B11" s="30" t="s">
        <v>9</v>
      </c>
      <c r="C11" s="30"/>
      <c r="E11" t="s">
        <v>63</v>
      </c>
    </row>
    <row r="12" spans="1:8" x14ac:dyDescent="0.25">
      <c r="B12" s="30" t="s">
        <v>10</v>
      </c>
      <c r="C12" s="30"/>
    </row>
    <row r="13" spans="1:8" x14ac:dyDescent="0.25">
      <c r="B13" s="30" t="s">
        <v>33</v>
      </c>
      <c r="C13" s="30"/>
    </row>
    <row r="14" spans="1:8" x14ac:dyDescent="0.25">
      <c r="A14" s="116"/>
      <c r="B14" s="116"/>
      <c r="C14" s="116"/>
      <c r="D14" s="116"/>
      <c r="E14" s="116"/>
    </row>
    <row r="15" spans="1:8" x14ac:dyDescent="0.25">
      <c r="A15" s="116"/>
      <c r="B15" s="115" t="s">
        <v>57</v>
      </c>
      <c r="C15" s="115"/>
      <c r="D15" s="121"/>
      <c r="E15" s="116"/>
    </row>
    <row r="16" spans="1:8" x14ac:dyDescent="0.25">
      <c r="B16" s="116" t="s">
        <v>1</v>
      </c>
      <c r="C16" s="116"/>
      <c r="D16" s="116"/>
    </row>
    <row r="17" spans="1:5" x14ac:dyDescent="0.25">
      <c r="B17" s="116" t="s">
        <v>34</v>
      </c>
      <c r="C17" s="116"/>
      <c r="D17" s="116"/>
    </row>
    <row r="18" spans="1:5" x14ac:dyDescent="0.25">
      <c r="B18" s="116" t="s">
        <v>3</v>
      </c>
      <c r="C18" s="116"/>
      <c r="D18" s="116"/>
    </row>
    <row r="19" spans="1:5" x14ac:dyDescent="0.25">
      <c r="B19" s="116" t="s">
        <v>34</v>
      </c>
      <c r="C19" s="116"/>
      <c r="D19" s="116"/>
    </row>
    <row r="20" spans="1:5" x14ac:dyDescent="0.25">
      <c r="B20" s="116" t="s">
        <v>5</v>
      </c>
      <c r="C20" s="116"/>
      <c r="D20" s="116"/>
    </row>
    <row r="21" spans="1:5" x14ac:dyDescent="0.25">
      <c r="B21" s="116" t="s">
        <v>6</v>
      </c>
      <c r="C21" s="116"/>
      <c r="D21" s="116"/>
    </row>
    <row r="22" spans="1:5" x14ac:dyDescent="0.25">
      <c r="B22" s="116" t="s">
        <v>58</v>
      </c>
      <c r="C22" s="116"/>
    </row>
    <row r="23" spans="1:5" x14ac:dyDescent="0.25">
      <c r="A23" s="133"/>
      <c r="B23" s="152"/>
      <c r="C23" s="152"/>
      <c r="D23" s="152"/>
      <c r="E23" s="153"/>
    </row>
    <row r="24" spans="1:5" x14ac:dyDescent="0.25">
      <c r="A24" s="20"/>
      <c r="B24" s="155" t="s">
        <v>59</v>
      </c>
      <c r="C24" s="156" t="s">
        <v>73</v>
      </c>
      <c r="D24" s="156" t="s">
        <v>60</v>
      </c>
      <c r="E24" s="157" t="s">
        <v>61</v>
      </c>
    </row>
    <row r="25" spans="1:5" x14ac:dyDescent="0.25">
      <c r="A25" s="20"/>
      <c r="B25" s="182" t="s">
        <v>9</v>
      </c>
      <c r="C25" s="125" t="s">
        <v>64</v>
      </c>
      <c r="D25" s="150" t="s">
        <v>74</v>
      </c>
      <c r="E25" s="154">
        <v>1</v>
      </c>
    </row>
    <row r="26" spans="1:5" x14ac:dyDescent="0.25">
      <c r="A26" s="20"/>
      <c r="B26" s="182"/>
      <c r="C26" s="125" t="s">
        <v>64</v>
      </c>
      <c r="D26" s="150" t="s">
        <v>75</v>
      </c>
      <c r="E26" s="154">
        <v>2</v>
      </c>
    </row>
    <row r="27" spans="1:5" x14ac:dyDescent="0.25">
      <c r="A27" s="20"/>
      <c r="B27" s="182"/>
      <c r="C27" s="125" t="s">
        <v>65</v>
      </c>
      <c r="D27" s="150" t="s">
        <v>74</v>
      </c>
      <c r="E27" s="154">
        <v>3</v>
      </c>
    </row>
    <row r="28" spans="1:5" x14ac:dyDescent="0.25">
      <c r="A28" s="20"/>
      <c r="B28" s="182"/>
      <c r="C28" s="125" t="s">
        <v>65</v>
      </c>
      <c r="D28" s="150" t="s">
        <v>75</v>
      </c>
      <c r="E28" s="154">
        <v>4</v>
      </c>
    </row>
    <row r="29" spans="1:5" x14ac:dyDescent="0.25">
      <c r="A29" s="20"/>
      <c r="B29" s="182"/>
      <c r="C29" s="125" t="s">
        <v>66</v>
      </c>
      <c r="D29" s="150" t="s">
        <v>74</v>
      </c>
      <c r="E29" s="154">
        <v>5</v>
      </c>
    </row>
    <row r="30" spans="1:5" x14ac:dyDescent="0.25">
      <c r="A30" s="20"/>
      <c r="B30" s="183"/>
      <c r="C30" s="126" t="s">
        <v>66</v>
      </c>
      <c r="D30" s="151" t="s">
        <v>75</v>
      </c>
      <c r="E30" s="100">
        <v>6</v>
      </c>
    </row>
    <row r="31" spans="1:5" x14ac:dyDescent="0.25">
      <c r="A31" s="20"/>
      <c r="B31" s="184" t="s">
        <v>10</v>
      </c>
      <c r="C31" s="127" t="s">
        <v>64</v>
      </c>
      <c r="D31" s="150" t="s">
        <v>74</v>
      </c>
      <c r="E31" s="98">
        <v>1</v>
      </c>
    </row>
    <row r="32" spans="1:5" x14ac:dyDescent="0.25">
      <c r="A32" s="20"/>
      <c r="B32" s="182"/>
      <c r="C32" s="125" t="s">
        <v>64</v>
      </c>
      <c r="D32" s="150" t="s">
        <v>75</v>
      </c>
      <c r="E32" s="154">
        <v>2</v>
      </c>
    </row>
    <row r="33" spans="1:5" x14ac:dyDescent="0.25">
      <c r="A33" s="20"/>
      <c r="B33" s="182"/>
      <c r="C33" s="125" t="s">
        <v>65</v>
      </c>
      <c r="D33" s="150" t="s">
        <v>74</v>
      </c>
      <c r="E33" s="154">
        <v>3</v>
      </c>
    </row>
    <row r="34" spans="1:5" x14ac:dyDescent="0.25">
      <c r="A34" s="20"/>
      <c r="B34" s="182"/>
      <c r="C34" s="125" t="s">
        <v>65</v>
      </c>
      <c r="D34" s="150" t="s">
        <v>75</v>
      </c>
      <c r="E34" s="154">
        <v>4</v>
      </c>
    </row>
    <row r="35" spans="1:5" x14ac:dyDescent="0.25">
      <c r="A35" s="20"/>
      <c r="B35" s="182"/>
      <c r="C35" s="125" t="s">
        <v>66</v>
      </c>
      <c r="D35" s="150" t="s">
        <v>74</v>
      </c>
      <c r="E35" s="154">
        <v>5</v>
      </c>
    </row>
    <row r="36" spans="1:5" x14ac:dyDescent="0.25">
      <c r="A36" s="20"/>
      <c r="B36" s="183"/>
      <c r="C36" s="126" t="s">
        <v>66</v>
      </c>
      <c r="D36" s="151" t="s">
        <v>75</v>
      </c>
      <c r="E36" s="100">
        <v>6</v>
      </c>
    </row>
    <row r="37" spans="1:5" x14ac:dyDescent="0.25">
      <c r="A37" s="20"/>
      <c r="B37" s="185" t="s">
        <v>11</v>
      </c>
      <c r="C37" s="127" t="s">
        <v>64</v>
      </c>
      <c r="D37" s="150" t="s">
        <v>74</v>
      </c>
      <c r="E37" s="98">
        <v>1</v>
      </c>
    </row>
    <row r="38" spans="1:5" x14ac:dyDescent="0.25">
      <c r="A38" s="20"/>
      <c r="B38" s="186"/>
      <c r="C38" s="125" t="s">
        <v>64</v>
      </c>
      <c r="D38" s="150" t="s">
        <v>75</v>
      </c>
      <c r="E38" s="154">
        <v>2</v>
      </c>
    </row>
    <row r="39" spans="1:5" x14ac:dyDescent="0.25">
      <c r="A39" s="20"/>
      <c r="B39" s="186"/>
      <c r="C39" s="125" t="s">
        <v>65</v>
      </c>
      <c r="D39" s="150" t="s">
        <v>74</v>
      </c>
      <c r="E39" s="154">
        <v>3</v>
      </c>
    </row>
    <row r="40" spans="1:5" x14ac:dyDescent="0.25">
      <c r="A40" s="20"/>
      <c r="B40" s="186"/>
      <c r="C40" s="125" t="s">
        <v>65</v>
      </c>
      <c r="D40" s="150" t="s">
        <v>75</v>
      </c>
      <c r="E40" s="154">
        <v>4</v>
      </c>
    </row>
    <row r="41" spans="1:5" x14ac:dyDescent="0.25">
      <c r="A41" s="20"/>
      <c r="B41" s="186"/>
      <c r="C41" s="125" t="s">
        <v>66</v>
      </c>
      <c r="D41" s="150" t="s">
        <v>74</v>
      </c>
      <c r="E41" s="154">
        <v>5</v>
      </c>
    </row>
    <row r="42" spans="1:5" x14ac:dyDescent="0.25">
      <c r="A42" s="146"/>
      <c r="B42" s="187"/>
      <c r="C42" s="126" t="s">
        <v>66</v>
      </c>
      <c r="D42" s="151" t="s">
        <v>75</v>
      </c>
      <c r="E42" s="100">
        <v>6</v>
      </c>
    </row>
  </sheetData>
  <mergeCells count="9">
    <mergeCell ref="B25:B30"/>
    <mergeCell ref="B31:B36"/>
    <mergeCell ref="B37:B42"/>
    <mergeCell ref="E3:H3"/>
    <mergeCell ref="E4:H4"/>
    <mergeCell ref="E5:H5"/>
    <mergeCell ref="E6:H6"/>
    <mergeCell ref="E7:H7"/>
    <mergeCell ref="E8:H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Model</vt:lpstr>
      <vt:lpstr>Cost Structure</vt:lpstr>
      <vt:lpstr>Cost Data</vt:lpstr>
      <vt:lpstr>Distance and freight rates</vt:lpstr>
      <vt:lpstr>Data Description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ATUL KAMBLE</dc:creator>
  <cp:lastModifiedBy>ATUL KAMBLE</cp:lastModifiedBy>
  <dcterms:created xsi:type="dcterms:W3CDTF">2015-06-11T02:32:27Z</dcterms:created>
  <dcterms:modified xsi:type="dcterms:W3CDTF">2015-07-23T04:23:04Z</dcterms:modified>
</cp:coreProperties>
</file>